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50" windowHeight="6390" activeTab="1"/>
  </bookViews>
  <sheets>
    <sheet name="SP" sheetId="1" r:id="rId1"/>
    <sheet name="CE" sheetId="2" r:id="rId2"/>
  </sheets>
  <definedNames/>
  <calcPr fullCalcOnLoad="1"/>
</workbook>
</file>

<file path=xl/sharedStrings.xml><?xml version="1.0" encoding="utf-8"?>
<sst xmlns="http://schemas.openxmlformats.org/spreadsheetml/2006/main" count="59" uniqueCount="52">
  <si>
    <t>CONTO ECONOMICO SINTETICO GITAL</t>
  </si>
  <si>
    <t>Costo materiale/lavorazioni</t>
  </si>
  <si>
    <t>Costi operativi</t>
  </si>
  <si>
    <t>personale</t>
  </si>
  <si>
    <t>ammortamenti</t>
  </si>
  <si>
    <t>canoni leasing</t>
  </si>
  <si>
    <t>altri costi operativi</t>
  </si>
  <si>
    <t>1999</t>
  </si>
  <si>
    <t>2000</t>
  </si>
  <si>
    <t>2001</t>
  </si>
  <si>
    <t>2002</t>
  </si>
  <si>
    <t>Reddito operativo</t>
  </si>
  <si>
    <t>Tot. costi operativi</t>
  </si>
  <si>
    <t>inc.</t>
  </si>
  <si>
    <t>cresc.</t>
  </si>
  <si>
    <t>STATO PATRIMONIALE SINTETICO GITAL</t>
  </si>
  <si>
    <t>materiali</t>
  </si>
  <si>
    <t>Immobilizzazioni nette</t>
  </si>
  <si>
    <t>magazzino</t>
  </si>
  <si>
    <t>Circolante operativo</t>
  </si>
  <si>
    <t>crediti</t>
  </si>
  <si>
    <t>debiti</t>
  </si>
  <si>
    <t>Tot. circolante operativo</t>
  </si>
  <si>
    <t>immateriali</t>
  </si>
  <si>
    <t>Tot. immobilizzazioni nette</t>
  </si>
  <si>
    <t>Capitale netto</t>
  </si>
  <si>
    <t>Tot. capitale operativo netto</t>
  </si>
  <si>
    <t>Posizione finanziaria netta</t>
  </si>
  <si>
    <t>cassa e banche attive</t>
  </si>
  <si>
    <t>quota mutui a breve</t>
  </si>
  <si>
    <t>debiti banche a breve</t>
  </si>
  <si>
    <t>debiti banche a lungo</t>
  </si>
  <si>
    <t>Tot. posizione fin. netta</t>
  </si>
  <si>
    <t>Tot. coperture</t>
  </si>
  <si>
    <t>Verifica</t>
  </si>
  <si>
    <t>Valore produzione</t>
  </si>
  <si>
    <t>accantonamento TFR</t>
  </si>
  <si>
    <t>Quota interessi leasing 1</t>
  </si>
  <si>
    <t>Quota interessi leasing 2</t>
  </si>
  <si>
    <t>Quota capitale</t>
  </si>
  <si>
    <t>canoni</t>
  </si>
  <si>
    <t>DETTAGLIO CANON LEASING IN ESSERE A INIZIO 2000</t>
  </si>
  <si>
    <t>DETTAGLIO VOCE AMMORTAMENTI E LEASING</t>
  </si>
  <si>
    <t>svalutazione partecipaz.</t>
  </si>
  <si>
    <t>Totale leasing già in essere</t>
  </si>
  <si>
    <t>Altri leasing</t>
  </si>
  <si>
    <t>Verifica prospetto W Gital con riconciliazioni</t>
  </si>
  <si>
    <t>Rettifica plusvalenze nette</t>
  </si>
  <si>
    <t>TRASFERIMENTO DA 2000 A 1999</t>
  </si>
  <si>
    <t>Accantonamenti</t>
  </si>
  <si>
    <t>Prospeeto Guerinoni interno</t>
  </si>
  <si>
    <t>Altre attività non operative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</si>
</sst>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3" fontId="0" fillId="0" borderId="0" xfId="0" applyAlignment="1">
      <alignment/>
    </xf>
    <xf numFmtId="3" fontId="1" fillId="0" borderId="0" xfId="0" applyFont="1" applyAlignment="1">
      <alignment/>
    </xf>
    <xf numFmtId="3" fontId="1" fillId="0" borderId="0" xfId="0" applyFont="1" applyAlignment="1">
      <alignment horizontal="center"/>
    </xf>
    <xf numFmtId="3" fontId="2" fillId="0" borderId="0" xfId="0" applyFont="1" applyAlignment="1">
      <alignment/>
    </xf>
    <xf numFmtId="3" fontId="0" fillId="0" borderId="1" xfId="0" applyBorder="1" applyAlignment="1">
      <alignment/>
    </xf>
    <xf numFmtId="9" fontId="0" fillId="0" borderId="0" xfId="17" applyAlignment="1">
      <alignment/>
    </xf>
    <xf numFmtId="9" fontId="3" fillId="0" borderId="0" xfId="17" applyFont="1" applyAlignment="1">
      <alignment horizontal="center"/>
    </xf>
    <xf numFmtId="3" fontId="1" fillId="0" borderId="2" xfId="0" applyFont="1" applyBorder="1" applyAlignment="1" quotePrefix="1">
      <alignment horizontal="center"/>
    </xf>
    <xf numFmtId="9" fontId="3" fillId="0" borderId="3" xfId="17" applyFont="1" applyBorder="1" applyAlignment="1">
      <alignment horizontal="center"/>
    </xf>
    <xf numFmtId="3" fontId="0" fillId="0" borderId="4" xfId="0" applyBorder="1" applyAlignment="1">
      <alignment/>
    </xf>
    <xf numFmtId="9" fontId="0" fillId="0" borderId="0" xfId="17" applyBorder="1" applyAlignment="1">
      <alignment/>
    </xf>
    <xf numFmtId="9" fontId="0" fillId="0" borderId="5" xfId="17" applyBorder="1" applyAlignment="1">
      <alignment/>
    </xf>
    <xf numFmtId="3" fontId="0" fillId="0" borderId="4" xfId="0" applyFont="1" applyBorder="1" applyAlignment="1">
      <alignment/>
    </xf>
    <xf numFmtId="3" fontId="0" fillId="0" borderId="6" xfId="0" applyBorder="1" applyAlignment="1">
      <alignment/>
    </xf>
    <xf numFmtId="9" fontId="0" fillId="0" borderId="7" xfId="17" applyBorder="1" applyAlignment="1">
      <alignment/>
    </xf>
    <xf numFmtId="9" fontId="3" fillId="0" borderId="2" xfId="17" applyFont="1" applyBorder="1" applyAlignment="1">
      <alignment horizontal="center"/>
    </xf>
    <xf numFmtId="3" fontId="1" fillId="0" borderId="8" xfId="0" applyFont="1" applyBorder="1" applyAlignment="1" quotePrefix="1">
      <alignment horizontal="center"/>
    </xf>
    <xf numFmtId="9" fontId="0" fillId="0" borderId="4" xfId="17" applyBorder="1" applyAlignment="1">
      <alignment/>
    </xf>
    <xf numFmtId="3" fontId="0" fillId="0" borderId="0" xfId="0" applyBorder="1" applyAlignment="1">
      <alignment/>
    </xf>
    <xf numFmtId="9" fontId="0" fillId="0" borderId="6" xfId="17" applyBorder="1" applyAlignment="1">
      <alignment/>
    </xf>
    <xf numFmtId="3" fontId="1" fillId="0" borderId="0" xfId="0" applyFont="1" applyBorder="1" applyAlignment="1">
      <alignment horizontal="center"/>
    </xf>
    <xf numFmtId="3" fontId="1" fillId="0" borderId="0" xfId="0" applyFont="1" applyBorder="1" applyAlignment="1" quotePrefix="1">
      <alignment horizontal="center"/>
    </xf>
    <xf numFmtId="9" fontId="3" fillId="0" borderId="0" xfId="17" applyFont="1" applyBorder="1" applyAlignment="1">
      <alignment horizontal="center"/>
    </xf>
    <xf numFmtId="3" fontId="2" fillId="0" borderId="0" xfId="0" applyFont="1" applyBorder="1" applyAlignment="1">
      <alignment/>
    </xf>
    <xf numFmtId="3" fontId="0" fillId="0" borderId="0" xfId="0" applyFont="1" applyBorder="1" applyAlignment="1">
      <alignment/>
    </xf>
    <xf numFmtId="3" fontId="0" fillId="0" borderId="1" xfId="0" applyFont="1" applyBorder="1" applyAlignment="1">
      <alignment/>
    </xf>
    <xf numFmtId="3" fontId="0" fillId="0" borderId="9" xfId="0" applyBorder="1" applyAlignment="1">
      <alignment/>
    </xf>
    <xf numFmtId="170" fontId="4" fillId="0" borderId="0" xfId="17" applyNumberFormat="1" applyFont="1" applyBorder="1" applyAlignment="1">
      <alignment/>
    </xf>
    <xf numFmtId="9" fontId="0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B24" sqref="B24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1.7109375" style="0" customWidth="1"/>
    <col min="5" max="6" width="5.7109375" style="5" customWidth="1"/>
    <col min="8" max="9" width="5.7109375" style="5" customWidth="1"/>
    <col min="11" max="12" width="5.7109375" style="5" customWidth="1"/>
    <col min="14" max="15" width="5.7109375" style="5" customWidth="1"/>
  </cols>
  <sheetData>
    <row r="1" ht="12.75">
      <c r="A1" s="1" t="s">
        <v>15</v>
      </c>
    </row>
    <row r="2" spans="1:15" ht="12.75">
      <c r="A2" s="1"/>
      <c r="B2" s="18"/>
      <c r="C2" s="18"/>
      <c r="D2" s="18"/>
      <c r="E2" s="10"/>
      <c r="F2" s="10"/>
      <c r="G2" s="18"/>
      <c r="H2" s="10"/>
      <c r="I2" s="10"/>
      <c r="J2" s="18"/>
      <c r="K2" s="10"/>
      <c r="L2" s="10"/>
      <c r="M2" s="18"/>
      <c r="N2" s="10"/>
      <c r="O2" s="10"/>
    </row>
    <row r="3" spans="1:15" ht="12.75">
      <c r="A3" s="2"/>
      <c r="B3" s="20"/>
      <c r="C3" s="20"/>
      <c r="D3" s="21" t="s">
        <v>7</v>
      </c>
      <c r="E3" s="22" t="s">
        <v>13</v>
      </c>
      <c r="F3" s="22"/>
      <c r="G3" s="21" t="s">
        <v>8</v>
      </c>
      <c r="H3" s="22" t="str">
        <f>+E3</f>
        <v>inc.</v>
      </c>
      <c r="I3" s="22"/>
      <c r="J3" s="21" t="s">
        <v>9</v>
      </c>
      <c r="K3" s="22" t="str">
        <f>+E3</f>
        <v>inc.</v>
      </c>
      <c r="L3" s="22"/>
      <c r="M3" s="21" t="s">
        <v>10</v>
      </c>
      <c r="N3" s="22" t="str">
        <f>+K3</f>
        <v>inc.</v>
      </c>
      <c r="O3" s="22"/>
    </row>
    <row r="4" spans="1:15" ht="12.75">
      <c r="A4" t="s">
        <v>19</v>
      </c>
      <c r="C4" s="18"/>
      <c r="D4" s="18"/>
      <c r="E4" s="10"/>
      <c r="F4" s="10"/>
      <c r="G4" s="18"/>
      <c r="H4" s="10"/>
      <c r="I4" s="10"/>
      <c r="J4" s="18"/>
      <c r="K4" s="10"/>
      <c r="L4" s="10"/>
      <c r="M4" s="18"/>
      <c r="N4" s="10"/>
      <c r="O4" s="10"/>
    </row>
    <row r="5" spans="2:15" ht="12.75">
      <c r="B5" t="s">
        <v>18</v>
      </c>
      <c r="C5" s="18"/>
      <c r="D5" s="18">
        <v>77666</v>
      </c>
      <c r="E5" s="10">
        <f>+D5/$D$14</f>
        <v>0.652458079908599</v>
      </c>
      <c r="F5" s="27"/>
      <c r="G5" s="18">
        <v>79866</v>
      </c>
      <c r="H5" s="10">
        <f>+G5/$G$14</f>
        <v>0.6807476922290127</v>
      </c>
      <c r="I5" s="27"/>
      <c r="J5" s="18">
        <v>85616</v>
      </c>
      <c r="K5" s="10">
        <f>+J5/$J$14</f>
        <v>0.7268343619739713</v>
      </c>
      <c r="L5" s="27"/>
      <c r="M5" s="18">
        <v>90008</v>
      </c>
      <c r="N5" s="10">
        <f>+M5/$M$14</f>
        <v>0.7197358004749834</v>
      </c>
      <c r="O5" s="27"/>
    </row>
    <row r="6" spans="2:15" ht="12.75">
      <c r="B6" s="18" t="s">
        <v>20</v>
      </c>
      <c r="C6" s="18"/>
      <c r="D6" s="18">
        <v>81866</v>
      </c>
      <c r="E6" s="10">
        <f aca="true" t="shared" si="0" ref="E6:E23">+D6/$D$14</f>
        <v>0.6877415235727007</v>
      </c>
      <c r="F6" s="27"/>
      <c r="G6" s="18">
        <v>86609</v>
      </c>
      <c r="H6" s="10">
        <f aca="true" t="shared" si="1" ref="H6:H23">+G6/$G$14</f>
        <v>0.7382224836133343</v>
      </c>
      <c r="I6" s="27"/>
      <c r="J6" s="18">
        <v>95302</v>
      </c>
      <c r="K6" s="10">
        <f aca="true" t="shared" si="2" ref="K6:K23">+J6/$J$14</f>
        <v>0.8090633569057584</v>
      </c>
      <c r="L6" s="27"/>
      <c r="M6" s="18">
        <v>110550</v>
      </c>
      <c r="N6" s="10">
        <f aca="true" t="shared" si="3" ref="N6:N23">+M6/$M$14</f>
        <v>0.8839968974147788</v>
      </c>
      <c r="O6" s="27"/>
    </row>
    <row r="7" spans="2:15" ht="12.75">
      <c r="B7" s="24" t="s">
        <v>21</v>
      </c>
      <c r="C7" s="23"/>
      <c r="D7" s="25">
        <f>-6244-68470</f>
        <v>-74714</v>
      </c>
      <c r="E7" s="10">
        <f t="shared" si="0"/>
        <v>-0.6276588595046877</v>
      </c>
      <c r="F7" s="27"/>
      <c r="G7" s="4">
        <f>-6863-79147</f>
        <v>-86010</v>
      </c>
      <c r="H7" s="10">
        <f t="shared" si="1"/>
        <v>-0.7331168333035006</v>
      </c>
      <c r="I7" s="27"/>
      <c r="J7" s="4">
        <f>-7730-88720</f>
        <v>-96450</v>
      </c>
      <c r="K7" s="10">
        <f t="shared" si="2"/>
        <v>-0.8188092671041572</v>
      </c>
      <c r="L7" s="27"/>
      <c r="M7" s="4">
        <f>-8575-97961</f>
        <v>-106536</v>
      </c>
      <c r="N7" s="10">
        <f t="shared" si="3"/>
        <v>-0.8518995338125814</v>
      </c>
      <c r="O7" s="27"/>
    </row>
    <row r="8" spans="1:15" ht="12.75">
      <c r="A8" t="s">
        <v>22</v>
      </c>
      <c r="B8" s="24"/>
      <c r="C8" s="23"/>
      <c r="D8" s="24">
        <f>SUM(D5:D7)</f>
        <v>84818</v>
      </c>
      <c r="E8" s="10">
        <f t="shared" si="0"/>
        <v>0.7125407439766122</v>
      </c>
      <c r="F8" s="10"/>
      <c r="G8" s="24">
        <f>SUM(G5:G7)</f>
        <v>80465</v>
      </c>
      <c r="H8" s="10">
        <f t="shared" si="1"/>
        <v>0.6858533425388464</v>
      </c>
      <c r="I8" s="10"/>
      <c r="J8" s="18">
        <f>SUM(J5:J7)</f>
        <v>84468</v>
      </c>
      <c r="K8" s="10">
        <f t="shared" si="2"/>
        <v>0.7170884517755725</v>
      </c>
      <c r="L8" s="10"/>
      <c r="M8" s="18">
        <f>SUM(M5:M7)</f>
        <v>94022</v>
      </c>
      <c r="N8" s="10">
        <f t="shared" si="3"/>
        <v>0.7518331640771808</v>
      </c>
      <c r="O8" s="10"/>
    </row>
    <row r="9" spans="1:15" ht="12.75">
      <c r="A9" t="s">
        <v>17</v>
      </c>
      <c r="B9" s="24"/>
      <c r="C9" s="23"/>
      <c r="D9" s="24"/>
      <c r="E9" s="10"/>
      <c r="F9" s="10"/>
      <c r="G9" s="18"/>
      <c r="H9" s="10"/>
      <c r="I9" s="10"/>
      <c r="J9" s="18"/>
      <c r="K9" s="10"/>
      <c r="L9" s="10"/>
      <c r="M9" s="18"/>
      <c r="N9" s="10"/>
      <c r="O9" s="10"/>
    </row>
    <row r="10" spans="2:15" ht="12.75">
      <c r="B10" s="18" t="s">
        <v>16</v>
      </c>
      <c r="C10" s="23"/>
      <c r="D10" s="24">
        <v>39733</v>
      </c>
      <c r="E10" s="10">
        <f t="shared" si="0"/>
        <v>0.33378977788232134</v>
      </c>
      <c r="F10" s="10"/>
      <c r="G10" s="18">
        <v>50681</v>
      </c>
      <c r="H10" s="10">
        <f t="shared" si="1"/>
        <v>0.43198574850197324</v>
      </c>
      <c r="I10" s="10"/>
      <c r="J10" s="18">
        <v>56405</v>
      </c>
      <c r="K10" s="10">
        <f t="shared" si="2"/>
        <v>0.47884848845007766</v>
      </c>
      <c r="L10" s="10"/>
      <c r="M10" s="18">
        <v>60331</v>
      </c>
      <c r="N10" s="10">
        <f t="shared" si="3"/>
        <v>0.4824280128261513</v>
      </c>
      <c r="O10" s="10"/>
    </row>
    <row r="11" spans="2:15" ht="12.75">
      <c r="B11" s="24" t="s">
        <v>23</v>
      </c>
      <c r="C11" s="23"/>
      <c r="D11" s="25">
        <v>10029</v>
      </c>
      <c r="E11" s="10">
        <f t="shared" si="0"/>
        <v>0.08425182297792265</v>
      </c>
      <c r="F11" s="10"/>
      <c r="G11" s="4">
        <v>5831</v>
      </c>
      <c r="H11" s="10">
        <f t="shared" si="1"/>
        <v>0.049701247006077344</v>
      </c>
      <c r="I11" s="10"/>
      <c r="J11" s="4">
        <v>1751</v>
      </c>
      <c r="K11" s="10">
        <f t="shared" si="2"/>
        <v>0.014865059893202482</v>
      </c>
      <c r="L11" s="10"/>
      <c r="M11" s="4">
        <v>245</v>
      </c>
      <c r="N11" s="10">
        <f t="shared" si="3"/>
        <v>0.0019591066473688</v>
      </c>
      <c r="O11" s="10"/>
    </row>
    <row r="12" spans="1:15" ht="12.75">
      <c r="A12" t="s">
        <v>24</v>
      </c>
      <c r="B12" s="18"/>
      <c r="C12" s="18"/>
      <c r="D12" s="18">
        <f>SUM(D10:D11)</f>
        <v>49762</v>
      </c>
      <c r="E12" s="10">
        <f t="shared" si="0"/>
        <v>0.41804160086024394</v>
      </c>
      <c r="F12" s="10"/>
      <c r="G12" s="18">
        <f>SUM(G10:G11)</f>
        <v>56512</v>
      </c>
      <c r="H12" s="10">
        <f t="shared" si="1"/>
        <v>0.48168699550805055</v>
      </c>
      <c r="I12" s="10"/>
      <c r="J12" s="18">
        <f>SUM(J10:J11)</f>
        <v>58156</v>
      </c>
      <c r="K12" s="10">
        <f t="shared" si="2"/>
        <v>0.4937135483432802</v>
      </c>
      <c r="L12" s="10"/>
      <c r="M12" s="18">
        <f>SUM(M10:M11)</f>
        <v>60576</v>
      </c>
      <c r="N12" s="10">
        <f t="shared" si="3"/>
        <v>0.4843871194735201</v>
      </c>
      <c r="O12" s="10"/>
    </row>
    <row r="13" spans="1:15" ht="12.75">
      <c r="A13" t="s">
        <v>51</v>
      </c>
      <c r="B13" s="18"/>
      <c r="C13" s="18"/>
      <c r="D13" s="4">
        <v>-15544</v>
      </c>
      <c r="E13" s="10">
        <f t="shared" si="0"/>
        <v>-0.13058234483685607</v>
      </c>
      <c r="F13" s="10"/>
      <c r="G13" s="4">
        <v>-19656</v>
      </c>
      <c r="H13" s="10">
        <f t="shared" si="1"/>
        <v>-0.16754033804689697</v>
      </c>
      <c r="I13" s="10"/>
      <c r="J13" s="4">
        <v>-24831</v>
      </c>
      <c r="K13" s="10">
        <f t="shared" si="2"/>
        <v>-0.21080200011885256</v>
      </c>
      <c r="L13" s="10"/>
      <c r="M13" s="4">
        <v>-29541</v>
      </c>
      <c r="N13" s="10">
        <f t="shared" si="3"/>
        <v>-0.23622028355070088</v>
      </c>
      <c r="O13" s="10"/>
    </row>
    <row r="14" spans="1:15" ht="12.75">
      <c r="A14" t="s">
        <v>26</v>
      </c>
      <c r="C14" s="18"/>
      <c r="D14" s="18">
        <f>+D8+D12+D13</f>
        <v>119036</v>
      </c>
      <c r="E14" s="10">
        <f t="shared" si="0"/>
        <v>1</v>
      </c>
      <c r="F14" s="10"/>
      <c r="G14" s="18">
        <f>+G8+G12+G13</f>
        <v>117321</v>
      </c>
      <c r="H14" s="10">
        <f t="shared" si="1"/>
        <v>1</v>
      </c>
      <c r="I14" s="10"/>
      <c r="J14" s="18">
        <f>+J8+J12+J13</f>
        <v>117793</v>
      </c>
      <c r="K14" s="10">
        <f t="shared" si="2"/>
        <v>1</v>
      </c>
      <c r="L14" s="10"/>
      <c r="M14" s="18">
        <f>+M8+M12+M13</f>
        <v>125057</v>
      </c>
      <c r="N14" s="10">
        <f t="shared" si="3"/>
        <v>1</v>
      </c>
      <c r="O14" s="10"/>
    </row>
    <row r="15" spans="2:15" ht="12.75">
      <c r="B15" s="18"/>
      <c r="C15" s="18"/>
      <c r="D15" s="18"/>
      <c r="E15" s="10"/>
      <c r="F15" s="10"/>
      <c r="G15" s="18"/>
      <c r="H15" s="10"/>
      <c r="I15" s="10"/>
      <c r="J15" s="18"/>
      <c r="K15" s="10"/>
      <c r="L15" s="10"/>
      <c r="M15" s="18"/>
      <c r="N15" s="10"/>
      <c r="O15" s="10"/>
    </row>
    <row r="16" spans="1:15" ht="12.75">
      <c r="A16" t="s">
        <v>25</v>
      </c>
      <c r="B16" s="18"/>
      <c r="C16" s="18"/>
      <c r="D16" s="18">
        <f>101836+8101</f>
        <v>109937</v>
      </c>
      <c r="E16" s="10">
        <f t="shared" si="0"/>
        <v>0.9235609395476999</v>
      </c>
      <c r="F16" s="10"/>
      <c r="G16" s="18">
        <f>104526+10364</f>
        <v>114890</v>
      </c>
      <c r="H16" s="10">
        <f t="shared" si="1"/>
        <v>0.9792790719479036</v>
      </c>
      <c r="I16" s="10"/>
      <c r="J16" s="18">
        <f>117741+15519</f>
        <v>133260</v>
      </c>
      <c r="K16" s="10">
        <f t="shared" si="2"/>
        <v>1.1313066141451529</v>
      </c>
      <c r="L16" s="10"/>
      <c r="M16" s="18">
        <f>127460+20558</f>
        <v>148018</v>
      </c>
      <c r="N16" s="10">
        <f t="shared" si="3"/>
        <v>1.1836042764499388</v>
      </c>
      <c r="O16" s="10"/>
    </row>
    <row r="17" spans="1:14" ht="12.75">
      <c r="A17" t="s">
        <v>27</v>
      </c>
      <c r="E17" s="10"/>
      <c r="H17" s="10"/>
      <c r="K17" s="10"/>
      <c r="N17" s="10"/>
    </row>
    <row r="18" spans="2:14" ht="12.75">
      <c r="B18" t="s">
        <v>30</v>
      </c>
      <c r="D18">
        <v>10660</v>
      </c>
      <c r="E18" s="10">
        <f t="shared" si="0"/>
        <v>0.08955274034745792</v>
      </c>
      <c r="G18">
        <v>10963</v>
      </c>
      <c r="H18" s="10">
        <f t="shared" si="1"/>
        <v>0.09344448138014508</v>
      </c>
      <c r="J18">
        <v>9027</v>
      </c>
      <c r="K18" s="10">
        <f t="shared" si="2"/>
        <v>0.07663443498340308</v>
      </c>
      <c r="M18">
        <v>9938</v>
      </c>
      <c r="N18" s="10">
        <f t="shared" si="3"/>
        <v>0.07946776270020871</v>
      </c>
    </row>
    <row r="19" spans="2:14" ht="12.75">
      <c r="B19" t="s">
        <v>29</v>
      </c>
      <c r="D19">
        <v>3910</v>
      </c>
      <c r="E19" s="10">
        <f t="shared" si="0"/>
        <v>0.0328472058872946</v>
      </c>
      <c r="G19">
        <v>6700</v>
      </c>
      <c r="H19" s="10">
        <f t="shared" si="1"/>
        <v>0.057108275585786</v>
      </c>
      <c r="J19">
        <v>2938</v>
      </c>
      <c r="K19" s="10">
        <f t="shared" si="2"/>
        <v>0.024942059375344886</v>
      </c>
      <c r="M19">
        <v>2609</v>
      </c>
      <c r="N19" s="10">
        <f t="shared" si="3"/>
        <v>0.020862486706062035</v>
      </c>
    </row>
    <row r="20" spans="2:14" ht="12.75">
      <c r="B20" t="s">
        <v>31</v>
      </c>
      <c r="D20">
        <v>23090</v>
      </c>
      <c r="E20" s="10">
        <f t="shared" si="0"/>
        <v>0.19397493195335866</v>
      </c>
      <c r="G20">
        <v>16907</v>
      </c>
      <c r="H20" s="10">
        <f t="shared" si="1"/>
        <v>0.1441088978102812</v>
      </c>
      <c r="J20">
        <v>13369</v>
      </c>
      <c r="K20" s="10">
        <f t="shared" si="2"/>
        <v>0.11349570857351456</v>
      </c>
      <c r="M20">
        <v>10160</v>
      </c>
      <c r="N20" s="10">
        <f t="shared" si="3"/>
        <v>0.08124295321333472</v>
      </c>
    </row>
    <row r="21" spans="2:14" ht="12.75">
      <c r="B21" t="s">
        <v>28</v>
      </c>
      <c r="D21">
        <v>-28561</v>
      </c>
      <c r="E21" s="10">
        <f t="shared" si="0"/>
        <v>-0.23993581773581102</v>
      </c>
      <c r="G21" s="4">
        <v>-32139</v>
      </c>
      <c r="H21" s="10">
        <f t="shared" si="1"/>
        <v>-0.2739407267241159</v>
      </c>
      <c r="J21" s="4">
        <v>-40801</v>
      </c>
      <c r="K21" s="10">
        <f t="shared" si="2"/>
        <v>-0.34637881707741547</v>
      </c>
      <c r="M21" s="4">
        <v>-45668</v>
      </c>
      <c r="N21" s="10">
        <f t="shared" si="3"/>
        <v>-0.3651774790695443</v>
      </c>
    </row>
    <row r="22" spans="1:14" ht="12.75">
      <c r="A22" t="s">
        <v>32</v>
      </c>
      <c r="D22" s="26">
        <f>SUM(D18:D21)</f>
        <v>9099</v>
      </c>
      <c r="E22" s="10">
        <f t="shared" si="0"/>
        <v>0.07643906045230014</v>
      </c>
      <c r="G22" s="26">
        <f>SUM(G18:G21)</f>
        <v>2431</v>
      </c>
      <c r="H22" s="10">
        <f t="shared" si="1"/>
        <v>0.020720928052096386</v>
      </c>
      <c r="J22" s="26">
        <f>SUM(J18:J21)</f>
        <v>-15467</v>
      </c>
      <c r="K22" s="10">
        <f t="shared" si="2"/>
        <v>-0.13130661414515293</v>
      </c>
      <c r="M22" s="26">
        <f>SUM(M18:M21)</f>
        <v>-22961</v>
      </c>
      <c r="N22" s="10">
        <f t="shared" si="3"/>
        <v>-0.18360427644993882</v>
      </c>
    </row>
    <row r="23" spans="1:14" ht="12.75">
      <c r="A23" t="s">
        <v>33</v>
      </c>
      <c r="D23">
        <f>+D16+D22</f>
        <v>119036</v>
      </c>
      <c r="E23" s="10">
        <f t="shared" si="0"/>
        <v>1</v>
      </c>
      <c r="G23">
        <f>+G16+G22</f>
        <v>117321</v>
      </c>
      <c r="H23" s="10">
        <f t="shared" si="1"/>
        <v>1</v>
      </c>
      <c r="J23">
        <f>+J16+J22</f>
        <v>117793</v>
      </c>
      <c r="K23" s="10">
        <f t="shared" si="2"/>
        <v>1</v>
      </c>
      <c r="M23">
        <f>+M16+M22</f>
        <v>125057</v>
      </c>
      <c r="N23" s="10">
        <f t="shared" si="3"/>
        <v>1</v>
      </c>
    </row>
    <row r="25" spans="1:13" ht="12.75" hidden="1">
      <c r="A25" t="s">
        <v>34</v>
      </c>
      <c r="D25">
        <f>+D14-D23</f>
        <v>0</v>
      </c>
      <c r="G25">
        <f>+G14-G23</f>
        <v>0</v>
      </c>
      <c r="J25">
        <f>+J14-J23</f>
        <v>0</v>
      </c>
      <c r="M25">
        <f>+M14-M23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J43" sqref="J43"/>
    </sheetView>
  </sheetViews>
  <sheetFormatPr defaultColWidth="9.140625" defaultRowHeight="12.75"/>
  <cols>
    <col min="1" max="1" width="3.7109375" style="0" customWidth="1"/>
    <col min="2" max="2" width="27.28125" style="0" customWidth="1"/>
    <col min="3" max="3" width="1.7109375" style="0" customWidth="1"/>
    <col min="4" max="4" width="0" style="0" hidden="1" customWidth="1"/>
    <col min="5" max="5" width="5.7109375" style="5" hidden="1" customWidth="1"/>
    <col min="6" max="6" width="5.7109375" style="5" customWidth="1"/>
    <col min="8" max="9" width="5.7109375" style="5" customWidth="1"/>
    <col min="11" max="12" width="5.7109375" style="5" customWidth="1"/>
    <col min="14" max="14" width="5.7109375" style="5" customWidth="1"/>
    <col min="15" max="15" width="5.7109375" style="5" hidden="1" customWidth="1"/>
  </cols>
  <sheetData>
    <row r="1" ht="12.75">
      <c r="A1" s="1" t="s">
        <v>0</v>
      </c>
    </row>
    <row r="2" ht="12.75">
      <c r="A2" s="1"/>
    </row>
    <row r="3" spans="4:15" s="2" customFormat="1" ht="12.75">
      <c r="D3" s="7" t="s">
        <v>7</v>
      </c>
      <c r="E3" s="8" t="s">
        <v>13</v>
      </c>
      <c r="F3" s="15" t="s">
        <v>14</v>
      </c>
      <c r="G3" s="16" t="s">
        <v>8</v>
      </c>
      <c r="H3" s="8" t="str">
        <f>+E3</f>
        <v>inc.</v>
      </c>
      <c r="I3" s="15" t="str">
        <f>+F3</f>
        <v>cresc.</v>
      </c>
      <c r="J3" s="16" t="s">
        <v>9</v>
      </c>
      <c r="K3" s="8" t="str">
        <f>+H3</f>
        <v>inc.</v>
      </c>
      <c r="L3" s="15" t="str">
        <f>+I3</f>
        <v>cresc.</v>
      </c>
      <c r="M3" s="16" t="s">
        <v>10</v>
      </c>
      <c r="N3" s="8" t="str">
        <f>+K3</f>
        <v>inc.</v>
      </c>
      <c r="O3" s="6"/>
    </row>
    <row r="4" spans="1:14" ht="12.75">
      <c r="A4" t="s">
        <v>35</v>
      </c>
      <c r="D4" s="9">
        <v>237521</v>
      </c>
      <c r="E4" s="11">
        <f>+D4/D4</f>
        <v>1</v>
      </c>
      <c r="F4" s="17">
        <f>(+G4-D4)/D4</f>
        <v>0.11428463167467298</v>
      </c>
      <c r="G4" s="18">
        <v>264666</v>
      </c>
      <c r="H4" s="11">
        <f>+G4/G4</f>
        <v>1</v>
      </c>
      <c r="I4" s="17">
        <f>(+J4-G4)/G4</f>
        <v>0.14211496754399885</v>
      </c>
      <c r="J4" s="18">
        <v>302279</v>
      </c>
      <c r="K4" s="11">
        <f>+J4/J4</f>
        <v>1</v>
      </c>
      <c r="L4" s="17">
        <f>(+M4-J4)/J4</f>
        <v>0.1581254404043946</v>
      </c>
      <c r="M4" s="18">
        <v>350077</v>
      </c>
      <c r="N4" s="11">
        <f>+M4/M4</f>
        <v>1</v>
      </c>
    </row>
    <row r="5" spans="1:14" ht="12.75">
      <c r="A5" t="s">
        <v>1</v>
      </c>
      <c r="D5" s="9">
        <v>-109516</v>
      </c>
      <c r="E5" s="11">
        <f>+D5/$D$4</f>
        <v>-0.4610792308890582</v>
      </c>
      <c r="F5" s="17">
        <f aca="true" t="shared" si="0" ref="F5:F13">(+G5-D5)/D5</f>
        <v>0.1303462507761423</v>
      </c>
      <c r="G5" s="18">
        <v>-123791</v>
      </c>
      <c r="H5" s="11">
        <f>+G5/$G$4</f>
        <v>-0.46772535950972166</v>
      </c>
      <c r="I5" s="17">
        <f aca="true" t="shared" si="1" ref="I5:I13">(+J5-G5)/G5</f>
        <v>0.17808241309949835</v>
      </c>
      <c r="J5" s="18">
        <v>-145836</v>
      </c>
      <c r="K5" s="11">
        <f>+J5/$J$4</f>
        <v>-0.48245495055892074</v>
      </c>
      <c r="L5" s="17">
        <f aca="true" t="shared" si="2" ref="L5:L13">(+M5-J5)/J5</f>
        <v>0.17631449024932117</v>
      </c>
      <c r="M5" s="18">
        <v>-171549</v>
      </c>
      <c r="N5" s="11">
        <f>+M5/$M$4</f>
        <v>-0.4900321929175581</v>
      </c>
    </row>
    <row r="6" spans="1:14" ht="12.75">
      <c r="A6" t="s">
        <v>2</v>
      </c>
      <c r="D6" s="9"/>
      <c r="E6" s="11"/>
      <c r="F6" s="17"/>
      <c r="G6" s="18"/>
      <c r="H6" s="11"/>
      <c r="I6" s="17"/>
      <c r="J6" s="18"/>
      <c r="K6" s="11"/>
      <c r="L6" s="17"/>
      <c r="M6" s="18"/>
      <c r="N6" s="11"/>
    </row>
    <row r="7" spans="2:14" ht="12.75">
      <c r="B7" s="3" t="s">
        <v>3</v>
      </c>
      <c r="C7" s="3"/>
      <c r="D7" s="12">
        <f>-17705-34725</f>
        <v>-52430</v>
      </c>
      <c r="E7" s="11">
        <f aca="true" t="shared" si="3" ref="E7:E13">+D7/$D$4</f>
        <v>-0.22073837681720773</v>
      </c>
      <c r="F7" s="17">
        <f t="shared" si="0"/>
        <v>-0.025271790959374405</v>
      </c>
      <c r="G7" s="18">
        <f>-17386-37807-G8</f>
        <v>-51105</v>
      </c>
      <c r="H7" s="11">
        <f aca="true" t="shared" si="4" ref="H7:H13">+G7/$G$4</f>
        <v>-0.1930924259255061</v>
      </c>
      <c r="I7" s="17">
        <f t="shared" si="1"/>
        <v>0.04991683788279033</v>
      </c>
      <c r="J7" s="18">
        <f>-18109-39839-J8</f>
        <v>-53656</v>
      </c>
      <c r="K7" s="11">
        <f aca="true" t="shared" si="5" ref="K7:K13">+J7/$J$4</f>
        <v>-0.17750488786849236</v>
      </c>
      <c r="L7" s="17">
        <f t="shared" si="2"/>
        <v>0.051457432533174294</v>
      </c>
      <c r="M7" s="18">
        <f>-19150-41780-M8</f>
        <v>-56417</v>
      </c>
      <c r="N7" s="11">
        <f aca="true" t="shared" si="6" ref="N7:N13">+M7/$M$4</f>
        <v>-0.16115597425709202</v>
      </c>
    </row>
    <row r="8" spans="2:15" ht="12.75">
      <c r="B8" s="3" t="s">
        <v>36</v>
      </c>
      <c r="C8" s="3"/>
      <c r="D8" s="12">
        <v>0</v>
      </c>
      <c r="E8" s="11">
        <f t="shared" si="3"/>
        <v>0</v>
      </c>
      <c r="F8" s="17"/>
      <c r="G8" s="18">
        <v>-4088</v>
      </c>
      <c r="H8" s="11">
        <f t="shared" si="4"/>
        <v>-0.015445882735220996</v>
      </c>
      <c r="I8" s="17">
        <f t="shared" si="1"/>
        <v>0.049902152641878667</v>
      </c>
      <c r="J8" s="18">
        <v>-4292</v>
      </c>
      <c r="K8" s="11">
        <f t="shared" si="5"/>
        <v>-0.014198803092507253</v>
      </c>
      <c r="L8" s="17">
        <f t="shared" si="2"/>
        <v>0.05149114631873253</v>
      </c>
      <c r="M8" s="18">
        <v>-4513</v>
      </c>
      <c r="N8" s="11">
        <f t="shared" si="6"/>
        <v>-0.012891449595374731</v>
      </c>
      <c r="O8" s="28" t="s">
        <v>50</v>
      </c>
    </row>
    <row r="9" spans="2:14" ht="12.75">
      <c r="B9" s="3" t="s">
        <v>4</v>
      </c>
      <c r="C9" s="3"/>
      <c r="D9" s="12">
        <f>-D27-D28</f>
        <v>-10965</v>
      </c>
      <c r="E9" s="11">
        <f t="shared" si="3"/>
        <v>-0.046164339153169615</v>
      </c>
      <c r="F9" s="17">
        <f t="shared" si="0"/>
        <v>-0.040857273141814865</v>
      </c>
      <c r="G9" s="18">
        <f>-G27-G28</f>
        <v>-10517</v>
      </c>
      <c r="H9" s="11">
        <f t="shared" si="4"/>
        <v>-0.03973687591152623</v>
      </c>
      <c r="I9" s="17">
        <f t="shared" si="1"/>
        <v>0.20690310925168776</v>
      </c>
      <c r="J9" s="18">
        <f>-J27-J28</f>
        <v>-12693</v>
      </c>
      <c r="K9" s="11">
        <f t="shared" si="5"/>
        <v>-0.04199100830689528</v>
      </c>
      <c r="L9" s="17">
        <f t="shared" si="2"/>
        <v>0.04821555187898842</v>
      </c>
      <c r="M9" s="18">
        <f>-M27-M28</f>
        <v>-13305</v>
      </c>
      <c r="N9" s="11">
        <f t="shared" si="6"/>
        <v>-0.03800592441091531</v>
      </c>
    </row>
    <row r="10" spans="2:14" ht="12.75">
      <c r="B10" s="3" t="s">
        <v>5</v>
      </c>
      <c r="C10" s="3"/>
      <c r="D10" s="12">
        <f>+D22+D23</f>
        <v>-2245.025</v>
      </c>
      <c r="E10" s="11">
        <f t="shared" si="3"/>
        <v>-0.009451901095061069</v>
      </c>
      <c r="F10" s="17">
        <f t="shared" si="0"/>
        <v>-0.6368280976826539</v>
      </c>
      <c r="G10" s="24">
        <f>+G22+G23</f>
        <v>-815.3299999999999</v>
      </c>
      <c r="H10" s="11">
        <f t="shared" si="4"/>
        <v>-0.0030805996992435748</v>
      </c>
      <c r="I10" s="17">
        <f t="shared" si="1"/>
        <v>0.2506715072424664</v>
      </c>
      <c r="J10" s="24">
        <f>+J22+J23</f>
        <v>-1019.71</v>
      </c>
      <c r="K10" s="11">
        <f t="shared" si="5"/>
        <v>-0.003373406687199574</v>
      </c>
      <c r="L10" s="17">
        <f t="shared" si="2"/>
        <v>0.20483470790715014</v>
      </c>
      <c r="M10" s="24">
        <f>+M22+M23</f>
        <v>-1228.582</v>
      </c>
      <c r="N10" s="11">
        <f t="shared" si="6"/>
        <v>-0.0035094622040293994</v>
      </c>
    </row>
    <row r="11" spans="2:14" ht="12.75">
      <c r="B11" s="3" t="s">
        <v>6</v>
      </c>
      <c r="C11" s="3"/>
      <c r="D11" s="12">
        <f>-15303-2682-1796-3277-12203-4234-504</f>
        <v>-39999</v>
      </c>
      <c r="E11" s="11">
        <f t="shared" si="3"/>
        <v>-0.16840195182741738</v>
      </c>
      <c r="F11" s="17">
        <f t="shared" si="0"/>
        <v>0.14295357383934598</v>
      </c>
      <c r="G11" s="18">
        <f>-16728-2900-2093-3127-12749-5957-599-1564</f>
        <v>-45717</v>
      </c>
      <c r="H11" s="11">
        <f t="shared" si="4"/>
        <v>-0.17273469202693206</v>
      </c>
      <c r="I11" s="17">
        <f t="shared" si="1"/>
        <v>0.08788853161843516</v>
      </c>
      <c r="J11" s="18">
        <f>-17649-3200-2404-3563-13749-6553-623-1994</f>
        <v>-49735</v>
      </c>
      <c r="K11" s="11">
        <f t="shared" si="5"/>
        <v>-0.16453342772736446</v>
      </c>
      <c r="L11" s="17">
        <f t="shared" si="2"/>
        <v>0.1450085452900372</v>
      </c>
      <c r="M11" s="18">
        <f>-21319-3550-2810-3929-14795-7692-684-2168</f>
        <v>-56947</v>
      </c>
      <c r="N11" s="11">
        <f t="shared" si="6"/>
        <v>-0.16266992690179588</v>
      </c>
    </row>
    <row r="12" spans="1:14" ht="12.75">
      <c r="A12" t="s">
        <v>12</v>
      </c>
      <c r="D12" s="13">
        <f>SUM(D7:D11)</f>
        <v>-105639.025</v>
      </c>
      <c r="E12" s="11">
        <f t="shared" si="3"/>
        <v>-0.44475656889285575</v>
      </c>
      <c r="F12" s="17">
        <f t="shared" si="0"/>
        <v>0.06250819713642763</v>
      </c>
      <c r="G12" s="4">
        <f>SUM(G7:G11)</f>
        <v>-112242.33</v>
      </c>
      <c r="H12" s="11">
        <f t="shared" si="4"/>
        <v>-0.42409047629842894</v>
      </c>
      <c r="I12" s="17">
        <f t="shared" si="1"/>
        <v>0.08155016026484843</v>
      </c>
      <c r="J12" s="4">
        <f>SUM(J7:J11)</f>
        <v>-121395.71</v>
      </c>
      <c r="K12" s="11">
        <f t="shared" si="5"/>
        <v>-0.40160153368245893</v>
      </c>
      <c r="L12" s="17">
        <f t="shared" si="2"/>
        <v>0.09073526568607727</v>
      </c>
      <c r="M12" s="4">
        <f>SUM(M7:M11)</f>
        <v>-132410.582</v>
      </c>
      <c r="N12" s="11">
        <f t="shared" si="6"/>
        <v>-0.3782327373692073</v>
      </c>
    </row>
    <row r="13" spans="1:14" ht="12.75">
      <c r="A13" t="s">
        <v>11</v>
      </c>
      <c r="D13" s="13">
        <f>+D4+D5+D12</f>
        <v>22365.975000000006</v>
      </c>
      <c r="E13" s="14">
        <f t="shared" si="3"/>
        <v>0.09416420021808601</v>
      </c>
      <c r="F13" s="19">
        <f t="shared" si="0"/>
        <v>0.2801887688777257</v>
      </c>
      <c r="G13" s="4">
        <f>+G4+G5+G12</f>
        <v>28632.67</v>
      </c>
      <c r="H13" s="14">
        <f t="shared" si="4"/>
        <v>0.10818416419184934</v>
      </c>
      <c r="I13" s="19">
        <f t="shared" si="1"/>
        <v>0.22403149968200645</v>
      </c>
      <c r="J13" s="4">
        <f>+J4+J5+J12</f>
        <v>35047.28999999999</v>
      </c>
      <c r="K13" s="14">
        <f t="shared" si="5"/>
        <v>0.11594351575862033</v>
      </c>
      <c r="L13" s="19">
        <f t="shared" si="2"/>
        <v>0.3158625959382313</v>
      </c>
      <c r="M13" s="4">
        <f>+M4+M5+M12</f>
        <v>46117.418000000005</v>
      </c>
      <c r="N13" s="14">
        <f t="shared" si="6"/>
        <v>0.13173506971323454</v>
      </c>
    </row>
    <row r="15" spans="1:13" ht="12.75" hidden="1">
      <c r="A15" t="s">
        <v>46</v>
      </c>
      <c r="G15">
        <f>24069-G13-G20-G21+G30</f>
        <v>-2749.999999999998</v>
      </c>
      <c r="J15">
        <f>33705-J13-J20-J21+J30</f>
        <v>6.366462912410498E-12</v>
      </c>
      <c r="M15">
        <f>44551-M13-M20-M21+M30</f>
        <v>-5.229594535194337E-12</v>
      </c>
    </row>
    <row r="16" ht="12.75" hidden="1"/>
    <row r="17" ht="12.75" hidden="1"/>
    <row r="18" ht="12.75" hidden="1">
      <c r="A18" t="s">
        <v>41</v>
      </c>
    </row>
    <row r="19" spans="1:13" ht="12.75" hidden="1">
      <c r="A19" t="s">
        <v>44</v>
      </c>
      <c r="D19">
        <v>-998</v>
      </c>
      <c r="G19">
        <f>+D19</f>
        <v>-998</v>
      </c>
      <c r="J19">
        <f>+G19</f>
        <v>-998</v>
      </c>
      <c r="M19">
        <f>+J19</f>
        <v>-998</v>
      </c>
    </row>
    <row r="20" spans="1:13" ht="12.75" hidden="1">
      <c r="A20" t="s">
        <v>37</v>
      </c>
      <c r="D20">
        <f>-(9.474+9.383+9.292+9.2+9.108+9.014+8.92+8.826+8.731+8.636+8.539+8.442)</f>
        <v>-107.565</v>
      </c>
      <c r="G20">
        <f>-8.345-8.247-8.148-8.048-7.948-7.847-7.746-7.644-7.511-7.438-7.333-7.229</f>
        <v>-93.484</v>
      </c>
      <c r="J20">
        <f>-7.123-7.017-6.91-6.802-6.694-6.585-6.475-6.364-6.253-6.141-6.029-5.915</f>
        <v>-78.308</v>
      </c>
      <c r="M20">
        <f>-5.801-5.686-5.57-5.454-5.337-5.219-5.1-4.98-4.86-4.739-4.617-4.494</f>
        <v>-61.857</v>
      </c>
    </row>
    <row r="21" spans="1:13" ht="12.75" hidden="1">
      <c r="A21" t="s">
        <v>38</v>
      </c>
      <c r="D21">
        <f>-24.432-24.199-23.963-23.726-23.488-23.248-23.006-22.763-22.518-22.271-22.023-21.773</f>
        <v>-277.40999999999997</v>
      </c>
      <c r="G21">
        <f>-21.522-21.269-21.014-20.758-20.499-20.24-19.978-19.715-19.45-19.183-18.914-18.644</f>
        <v>-241.18599999999998</v>
      </c>
      <c r="J21">
        <f>-18.372-18.098-17.822-17.545-17.265-16.984-16.701-16.416-16.13-15.841-15.55-15.258</f>
        <v>-201.98200000000003</v>
      </c>
      <c r="M21">
        <f>-14.963-14.667-14.369-14.068-13.766-13.462-13.155-12.847-12.537-12.224-11.91-11.593</f>
        <v>-159.56099999999998</v>
      </c>
    </row>
    <row r="22" spans="1:13" ht="12.75" hidden="1">
      <c r="A22" t="s">
        <v>39</v>
      </c>
      <c r="D22">
        <f>+D19-D20-D21</f>
        <v>-613.025</v>
      </c>
      <c r="G22">
        <f>+G19-G20-G21</f>
        <v>-663.3299999999999</v>
      </c>
      <c r="J22">
        <f>+J19-J20-J21</f>
        <v>-717.71</v>
      </c>
      <c r="M22">
        <f>+M19-M20-M21</f>
        <v>-776.5820000000001</v>
      </c>
    </row>
    <row r="23" spans="1:13" ht="12.75" hidden="1">
      <c r="A23" t="s">
        <v>45</v>
      </c>
      <c r="D23">
        <f>-D29-D19</f>
        <v>-1632</v>
      </c>
      <c r="G23">
        <f>-G29-G19</f>
        <v>-152</v>
      </c>
      <c r="J23">
        <f>-J29-J19</f>
        <v>-302</v>
      </c>
      <c r="M23">
        <f>-M29-M19</f>
        <v>-452</v>
      </c>
    </row>
    <row r="24" ht="12.75" hidden="1"/>
    <row r="25" ht="12.75" hidden="1"/>
    <row r="26" ht="12.75" hidden="1">
      <c r="A26" t="s">
        <v>42</v>
      </c>
    </row>
    <row r="27" spans="2:13" ht="12.75" hidden="1">
      <c r="B27" t="s">
        <v>16</v>
      </c>
      <c r="D27">
        <v>6433</v>
      </c>
      <c r="G27">
        <v>6289</v>
      </c>
      <c r="J27">
        <v>8563</v>
      </c>
      <c r="M27">
        <v>11789</v>
      </c>
    </row>
    <row r="28" spans="2:13" ht="12.75" hidden="1">
      <c r="B28" t="s">
        <v>23</v>
      </c>
      <c r="D28">
        <v>4532</v>
      </c>
      <c r="G28">
        <v>4228</v>
      </c>
      <c r="J28">
        <v>4130</v>
      </c>
      <c r="M28">
        <v>1516</v>
      </c>
    </row>
    <row r="29" spans="2:13" ht="12.75" hidden="1">
      <c r="B29" t="s">
        <v>40</v>
      </c>
      <c r="D29">
        <v>2630</v>
      </c>
      <c r="G29">
        <v>1150</v>
      </c>
      <c r="J29">
        <v>1300</v>
      </c>
      <c r="M29">
        <v>1450</v>
      </c>
    </row>
    <row r="30" spans="2:13" ht="12.75" hidden="1">
      <c r="B30" t="s">
        <v>43</v>
      </c>
      <c r="D30" s="4">
        <v>1573</v>
      </c>
      <c r="G30" s="4">
        <v>1479</v>
      </c>
      <c r="J30" s="4">
        <v>1062</v>
      </c>
      <c r="M30" s="4">
        <v>1345</v>
      </c>
    </row>
    <row r="31" spans="4:13" ht="12.75" hidden="1">
      <c r="D31">
        <f>SUM(D27:D30)</f>
        <v>15168</v>
      </c>
      <c r="G31">
        <f>SUM(G27:G30)</f>
        <v>13146</v>
      </c>
      <c r="J31">
        <f>SUM(J27:J30)</f>
        <v>15055</v>
      </c>
      <c r="M31">
        <f>SUM(M27:M30)</f>
        <v>16100</v>
      </c>
    </row>
    <row r="32" ht="12.75" hidden="1"/>
    <row r="33" ht="12.75" hidden="1"/>
    <row r="34" ht="12.75" hidden="1">
      <c r="A34" t="s">
        <v>48</v>
      </c>
    </row>
    <row r="35" spans="2:7" ht="12.75" hidden="1">
      <c r="B35" t="s">
        <v>49</v>
      </c>
      <c r="D35">
        <v>-2750</v>
      </c>
      <c r="G35">
        <v>2750</v>
      </c>
    </row>
    <row r="36" ht="12.75" hidden="1"/>
    <row r="37" ht="12.75" hidden="1"/>
    <row r="39" spans="1:15" ht="12.75">
      <c r="A39" t="s">
        <v>47</v>
      </c>
      <c r="G39">
        <f>280*(1-41.25%)</f>
        <v>164.5</v>
      </c>
      <c r="J39">
        <f>312*(1-41.25%)</f>
        <v>183.3</v>
      </c>
      <c r="M39">
        <f>541*(1-41.25%)</f>
        <v>317.83750000000003</v>
      </c>
      <c r="N39"/>
      <c r="O39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VR</dc:creator>
  <cp:keywords/>
  <dc:description/>
  <cp:lastModifiedBy>efornara</cp:lastModifiedBy>
  <cp:lastPrinted>2006-05-10T08:42:18Z</cp:lastPrinted>
  <dcterms:created xsi:type="dcterms:W3CDTF">2000-02-10T10:25:03Z</dcterms:created>
  <dcterms:modified xsi:type="dcterms:W3CDTF">2007-11-21T14:38:32Z</dcterms:modified>
  <cp:category/>
  <cp:version/>
  <cp:contentType/>
  <cp:contentStatus/>
</cp:coreProperties>
</file>