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5505" tabRatio="969" activeTab="5"/>
  </bookViews>
  <sheets>
    <sheet name="Dati di Base" sheetId="1" r:id="rId1"/>
    <sheet name="Elaborazioni di costo" sheetId="2" r:id="rId2"/>
    <sheet name="Variazione dei prezzi" sheetId="3" r:id="rId3"/>
    <sheet name="Analisi concorrenziale" sheetId="4" r:id="rId4"/>
    <sheet name="Conclusioni" sheetId="5" r:id="rId5"/>
    <sheet name="Esempi ripart Costi Gen" sheetId="6" r:id="rId6"/>
  </sheets>
  <definedNames/>
  <calcPr fullCalcOnLoad="1"/>
</workbook>
</file>

<file path=xl/sharedStrings.xml><?xml version="1.0" encoding="utf-8"?>
<sst xmlns="http://schemas.openxmlformats.org/spreadsheetml/2006/main" count="225" uniqueCount="157">
  <si>
    <t>Materie prime e semilavorati</t>
  </si>
  <si>
    <t>Costi di lavorazione</t>
  </si>
  <si>
    <t>MOD</t>
  </si>
  <si>
    <t>Servizi</t>
  </si>
  <si>
    <t>Packaging</t>
  </si>
  <si>
    <t>Trasporto</t>
  </si>
  <si>
    <t>Costi di Vendita</t>
  </si>
  <si>
    <t>Provvigioni</t>
  </si>
  <si>
    <t>Costi generali</t>
  </si>
  <si>
    <t>Costi Unitari variabili</t>
  </si>
  <si>
    <t>Materie prime</t>
  </si>
  <si>
    <t>Costi di Lavorazione</t>
  </si>
  <si>
    <t>TOTALE</t>
  </si>
  <si>
    <t>Costo pieno unitario</t>
  </si>
  <si>
    <t>Risultato lordo unitario</t>
  </si>
  <si>
    <t>FATTURATO</t>
  </si>
  <si>
    <t>QUOTE DI MERCATO</t>
  </si>
  <si>
    <t>Beta (Germania)</t>
  </si>
  <si>
    <t>Gamma (Germania)</t>
  </si>
  <si>
    <t>Milazzo</t>
  </si>
  <si>
    <t>Delta (Olanda)</t>
  </si>
  <si>
    <t>Altre</t>
  </si>
  <si>
    <t>UTI</t>
  </si>
  <si>
    <t>RIV</t>
  </si>
  <si>
    <t>DOMANDA DEL MERCATO</t>
  </si>
  <si>
    <t>TOT</t>
  </si>
  <si>
    <t>ELA</t>
  </si>
  <si>
    <t>VAR. PREZZO</t>
  </si>
  <si>
    <t>CONCORRENZA</t>
  </si>
  <si>
    <t>GRANDI MULTINAZIONALI</t>
  </si>
  <si>
    <t>AZIENDE ITALIANE MEDIO-GRANDI</t>
  </si>
  <si>
    <t>PICCOLE IMPRESE LOCALI</t>
  </si>
  <si>
    <t>Notevole capacità finanziaria</t>
  </si>
  <si>
    <t>Forte potere contrattuale</t>
  </si>
  <si>
    <t>Ottima qualità dei prodotti</t>
  </si>
  <si>
    <t>Scarsa flessibilità</t>
  </si>
  <si>
    <t>Alta incidenza dei costi fissi</t>
  </si>
  <si>
    <t>Ottima introduzione presso rivenditori</t>
  </si>
  <si>
    <t>Buona flessibilità</t>
  </si>
  <si>
    <t>Struttura finanziaria non ottimale</t>
  </si>
  <si>
    <t>Scarso potere contrattuale</t>
  </si>
  <si>
    <t>Atteggiamento passivo sul mercato</t>
  </si>
  <si>
    <t>Ben protette nella loro nicchia</t>
  </si>
  <si>
    <t>Ridotto raggio di azione</t>
  </si>
  <si>
    <t>(Solo Milazzo)</t>
  </si>
  <si>
    <t>BASE: QUANTITA'</t>
  </si>
  <si>
    <t>BEP</t>
  </si>
  <si>
    <t>MdC unitario</t>
  </si>
  <si>
    <t>MdC Totale</t>
  </si>
  <si>
    <t>Reddito Lordo</t>
  </si>
  <si>
    <t>Costo Pieno</t>
  </si>
  <si>
    <t>VAR. VOLUMI ELASTICITA'</t>
  </si>
  <si>
    <t>AUM VOL NECESSARIO</t>
  </si>
  <si>
    <t>Prezzo</t>
  </si>
  <si>
    <t>C. Var.</t>
  </si>
  <si>
    <t>MdC</t>
  </si>
  <si>
    <t>Var. Volume</t>
  </si>
  <si>
    <t>MdCTot</t>
  </si>
  <si>
    <t>Costi Generali</t>
  </si>
  <si>
    <t>RO</t>
  </si>
  <si>
    <t>Var. RO</t>
  </si>
  <si>
    <t>Var QdM</t>
  </si>
  <si>
    <t>OBIETTIVO: INCREMENTARE VENDITE E QUOTA DI MERCATO DEL PRODOTTO ALFA</t>
  </si>
  <si>
    <t>Prodotto sostanzialmente indifferenziato</t>
  </si>
  <si>
    <t>Prodotto lanciato nel 1999</t>
  </si>
  <si>
    <t>Due mercati sostanzialmente indipendenti</t>
  </si>
  <si>
    <t>ELASTICITA' DOMANDA AL PREZZO UTILIZZATORI (scarsa sensibilità)</t>
  </si>
  <si>
    <t>ELASTICITA' DOMANDA AL PREZZO RIVENDITORI (alta sensibilità)</t>
  </si>
  <si>
    <t>Necessità di integrare gli orientamenti di base nella definizione del prezzo (costi, domanda, concorrenza) ai fini di una corretta determinazione del prezzo</t>
  </si>
  <si>
    <t>Attenzione: trattare correttamente l'incertezza, attraverso la valutazione delle conseguenze associate alle reazioni dei concorrenti</t>
  </si>
  <si>
    <t>Ogni volta che sorge il problema di riformulare la politica di prezzo, è necessario procedere alla valutazione economica delle diverse alternative,</t>
  </si>
  <si>
    <t>Applicazione del mark-up</t>
  </si>
  <si>
    <t>Redditività sul costo pieno</t>
  </si>
  <si>
    <t>Redditività sul prezzo</t>
  </si>
  <si>
    <t>IL PREZZO SEMBRA ASSICURARE LA COPERTURA DI TUTTI I COSTI SIA PER UTI CHE PER RIV</t>
  </si>
  <si>
    <t>I RIVENDITORI SONO PIU' SENSIBILI ALLE VARIAZIONI DI PREZZO</t>
  </si>
  <si>
    <t>SI PENALIZZA LA VERSIONE PER GLI UTILIZZATORI, CHE SI CARATTERIZZA PER LOTTI PIU' PICCOLI, MENO ASSISTENZA TECNICA, IMBALLAGGI PARTICOLARI</t>
  </si>
  <si>
    <t>IN QUESTO MOMENTO L'AZIENDA STA PENALIZZANDO IL PRODOTTO PIU' SENSIBILE AL PREZZO CHE E' ANCHE IL PIU' REDDITIZIO</t>
  </si>
  <si>
    <t>POTREMMO SFRUTTARE LA SENSIBILITA' AL PREZZO DEI RIV PER AUMENTARE LA QUOTA DI MERCATO</t>
  </si>
  <si>
    <t>POTREMMO INCREMENTARE LA REDDITIVITA' DEL PRODOTTO VENDUTO A UTI PER BILANCIARE LA PERDITA DI MARGINE</t>
  </si>
  <si>
    <t>RIDUZIONE PREZZO RIV E AUMENTO DI VOLUME NECESSARIO PER MANTENERE IL MARGINE % ATTUALE</t>
  </si>
  <si>
    <t>VAR PREZZO</t>
  </si>
  <si>
    <t>VAR VOL = % RIDUZ. PREZZO/(MDC% - % RIDUZ. PREZZO)</t>
  </si>
  <si>
    <t>VAR VOL = % AUM. PREZZO/(MDC% + % AUM. PREZZO)</t>
  </si>
  <si>
    <t>IN IPOTESI DI RIDUZIONE DI PREZZO, I MARGINI DI DISCREZIONALITA' DELL'AZIENDA SONO ASSAI RIDOTTI</t>
  </si>
  <si>
    <t>IN QUESTO CASO E' ASSOLUTAMENTE NECESSARIO RECUPERARE REDDITIVITA' AUMENTANDO IL PREZZO SUGLI UTENTI FINALI</t>
  </si>
  <si>
    <t>AUMENTO PREZZO UTI E DECREMENTO DI VOLUME LIMITE PER MANTENERE IL MARGINE % ATTUALE</t>
  </si>
  <si>
    <t>IPOTESI DI LAVORO: I CONCORRENTI SI LIMITANO A EFFETTUARE VARIAZIONI PERCENTUALI IDENTICHE A QUELLE ATTUATE DA MILAZZO</t>
  </si>
  <si>
    <t>Peso % fatturato</t>
  </si>
  <si>
    <t>UTILIZZATORI</t>
  </si>
  <si>
    <t>RIVENDITORI</t>
  </si>
  <si>
    <t>RO ATTUALE</t>
  </si>
  <si>
    <t>Volume</t>
  </si>
  <si>
    <t>MILAZZO PUO' CRESCERE SOLO ATTACCANDO I CONCORRENTI MULTINAZIONALI. I PICCOLI SONO PROTETTI DALLA NICCHIA E SONO … PICCOLI</t>
  </si>
  <si>
    <t>LE MULTINAZIONALI HANNO UNA STRUTTURA DI COSTO RIGIDA: SI DIFENDERANNO STRENUAMENTE</t>
  </si>
  <si>
    <t>A) NESSUNA REAZIONE</t>
  </si>
  <si>
    <t>A
NESSUNA REAZIONE</t>
  </si>
  <si>
    <t>PESO</t>
  </si>
  <si>
    <t>B) REAZIONE COMPLETA</t>
  </si>
  <si>
    <t>B
REAZIONE COMPLETA</t>
  </si>
  <si>
    <t>C) REAZIONE PARZIALE FAVOREVOLE</t>
  </si>
  <si>
    <t>C
REAZIONE PARZIALE
FAVOREVOLE</t>
  </si>
  <si>
    <t>D) REAZIONE PARZIALE SFAVOREVOLE</t>
  </si>
  <si>
    <t>R.O.</t>
  </si>
  <si>
    <t>MEDIA PONDERATA</t>
  </si>
  <si>
    <t>MEDIA
PONDERATA</t>
  </si>
  <si>
    <t>quantificandone effetti reddituali e competitivi</t>
  </si>
  <si>
    <t>D
REAZIONE PARZIALE
SFAVOREVOLE</t>
  </si>
  <si>
    <t>Prezzo di vendita (Mark Up su costo var.)</t>
  </si>
  <si>
    <t>Costo Pieno unitario</t>
  </si>
  <si>
    <t>Costo Pieno Unitario</t>
  </si>
  <si>
    <t>Costo Variabile</t>
  </si>
  <si>
    <t>Prezzo 1</t>
  </si>
  <si>
    <t>Prezzo 2</t>
  </si>
  <si>
    <t>IL RISCHIO DI UNA GUERRA SUI PREZZI NEL SEGMENTO RIV E' ELEVATO</t>
  </si>
  <si>
    <t>TASSO DI CRESCITA</t>
  </si>
  <si>
    <t>BASE: COSTI VAR.</t>
  </si>
  <si>
    <t>SI TRATTA DEL PRODOTTO CHE, PROBABILMENTE, DETERMINA I MAGGIORI COSTI AMMINISTRATIVI E COMMERCIALI</t>
  </si>
  <si>
    <t>Fatturato</t>
  </si>
  <si>
    <t>DIM VOL LIMITE</t>
  </si>
  <si>
    <t>Reddito Lordo/Costo Pieno</t>
  </si>
  <si>
    <t>MDC % sui Ricavi</t>
  </si>
  <si>
    <t>Mark-UP sul costo variabile</t>
  </si>
  <si>
    <t>Mark Up sul costo variabile</t>
  </si>
  <si>
    <t>Prezzo sul costo variabile</t>
  </si>
  <si>
    <t>Costi Comuni ripartiti sui volumi</t>
  </si>
  <si>
    <t>Costi Comuni ripartiti sui costi variabili</t>
  </si>
  <si>
    <t>Reddito Lordo/Prezzo</t>
  </si>
  <si>
    <t>Ipotesi di Mark Up sul costo pieno</t>
  </si>
  <si>
    <t>CONFRONTO CON IL COSTO PIENO CALCOLATO SULLA BASE DEL VOLUME</t>
  </si>
  <si>
    <t>CONFRONTO CON IL COSTO PIENO CALCOLATO SULLA BASE DEL COSTO VARIABILE</t>
  </si>
  <si>
    <t>LA DOMANDA DI MERCATO E' STAZIONARIA: SI PUO' AUMENTARE IL VOLUME SOLO A SCAPITO DEI CONCORRENTI</t>
  </si>
  <si>
    <t>Vendite totali (in unità)</t>
  </si>
  <si>
    <t>Situazione vendite di Milazzo a chiusura del 2004</t>
  </si>
  <si>
    <t>Quota di Mercato</t>
  </si>
  <si>
    <t>Pdt A</t>
  </si>
  <si>
    <t>Pdt B</t>
  </si>
  <si>
    <t>Cvunitari</t>
  </si>
  <si>
    <t>Mark-Up</t>
  </si>
  <si>
    <t>MdC/Prezzo</t>
  </si>
  <si>
    <t>Volumi</t>
  </si>
  <si>
    <t>Varianti</t>
  </si>
  <si>
    <t>Spese generali</t>
  </si>
  <si>
    <t>Mark-Up su Costo Variabile</t>
  </si>
  <si>
    <t>Obiettivo di reddito lordo</t>
  </si>
  <si>
    <t>Spese generali attribuite per volumi</t>
  </si>
  <si>
    <t>Spese generali attribuite per varianti</t>
  </si>
  <si>
    <t>Spese generali di Pdt per unità di variante</t>
  </si>
  <si>
    <t>Spese generali per varianti</t>
  </si>
  <si>
    <r>
      <t xml:space="preserve">Costi Generali unitari </t>
    </r>
    <r>
      <rPr>
        <sz val="10"/>
        <rFont val="Arial Narrow"/>
        <family val="2"/>
      </rPr>
      <t>(ripartizione in base al volume)</t>
    </r>
  </si>
  <si>
    <t>Coeff. di ripartizione</t>
  </si>
  <si>
    <t>Reddito Lordo/Ricavi</t>
  </si>
  <si>
    <t>DA QUESTA ANALISI DELLA REDDITIVITA' SEMBRA EMERGERE CHE</t>
  </si>
  <si>
    <t>SI STA PENALIZZANDO LA VERSIONE PER I RIVENDITORI CHE, IN REALTA', PRODUCE IL MDC COMPLESSIVO PIU' ALTO</t>
  </si>
  <si>
    <t>QUESTA STRUTTURA DI PREZZO PUO' FUNZIONARE ?</t>
  </si>
  <si>
    <t>FUNZIONEREBBE SOLO SE IL PRODOTTO PER I RIV FOSSE QUELLO CHE UTILIZZASSE MAGGIORMENTE GLI IMPIANTI PRODUTTIVI</t>
  </si>
  <si>
    <t>Quote di Costi Generale imputate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</si>
</sst>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€&quot;\ * #,##0.000_-;\-&quot;€&quot;\ * #,##0.000_-;_-&quot;€&quot;\ * &quot;-&quot;??_-;_-@_-"/>
    <numFmt numFmtId="167" formatCode="_-&quot;€&quot;\ * #,##0.0000_-;\-&quot;€&quot;\ * #,##0.0000_-;_-&quot;€&quot;\ * &quot;-&quot;??_-;_-@_-"/>
    <numFmt numFmtId="168" formatCode="_-* #,##0.0000_-;\-* #,##0.0000_-;_-* &quot;-&quot;????_-;_-@_-"/>
    <numFmt numFmtId="169" formatCode="0.0%"/>
    <numFmt numFmtId="170" formatCode="0.000%"/>
    <numFmt numFmtId="171" formatCode="0.0000%"/>
    <numFmt numFmtId="172" formatCode="_-* #,##0.000_-;\-* #,##0.000_-;_-* &quot;-&quot;????_-;_-@_-"/>
    <numFmt numFmtId="173" formatCode="_-* #,##0.00_-;\-* #,##0.00_-;_-* &quot;-&quot;????_-;_-@_-"/>
    <numFmt numFmtId="174" formatCode="_-* #,##0.000_-;\-* #,##0.000_-;_-* &quot;-&quot;??_-;_-@_-"/>
    <numFmt numFmtId="175" formatCode="_-&quot;€&quot;\ * #,##0.0000_-;\-&quot;€&quot;\ * #,##0.0000_-;_-&quot;€&quot;\ * &quot;-&quot;????_-;_-@_-"/>
    <numFmt numFmtId="176" formatCode="_-&quot;€&quot;\ * #,##0.00000_-;\-&quot;€&quot;\ * #,##0.00000_-;_-&quot;€&quot;\ * &quot;-&quot;??_-;_-@_-"/>
    <numFmt numFmtId="177" formatCode="#,##0.00_ ;\-#,##0.00\ "/>
    <numFmt numFmtId="178" formatCode="_-[$€-410]\ * #,##0.00_-;\-[$€-410]\ * #,##0.00_-;_-[$€-410]\ * &quot;-&quot;??_-;_-@_-"/>
    <numFmt numFmtId="179" formatCode="0.0"/>
    <numFmt numFmtId="180" formatCode="0.00000"/>
    <numFmt numFmtId="181" formatCode="0.0000"/>
    <numFmt numFmtId="182" formatCode="0.000"/>
    <numFmt numFmtId="183" formatCode="#,##0.000_ ;\-#,##0.000\ 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4" fontId="0" fillId="0" borderId="0" xfId="44" applyFont="1" applyAlignment="1">
      <alignment/>
    </xf>
    <xf numFmtId="43" fontId="0" fillId="0" borderId="0" xfId="46" applyFont="1" applyAlignment="1">
      <alignment/>
    </xf>
    <xf numFmtId="165" fontId="0" fillId="0" borderId="0" xfId="46" applyNumberFormat="1" applyFont="1" applyAlignment="1">
      <alignment/>
    </xf>
    <xf numFmtId="44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44" applyNumberFormat="1" applyFont="1" applyAlignment="1">
      <alignment/>
    </xf>
    <xf numFmtId="9" fontId="0" fillId="0" borderId="0" xfId="51" applyFont="1" applyAlignment="1">
      <alignment/>
    </xf>
    <xf numFmtId="10" fontId="0" fillId="0" borderId="0" xfId="51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44" fontId="0" fillId="4" borderId="0" xfId="44" applyFont="1" applyFill="1" applyAlignment="1">
      <alignment/>
    </xf>
    <xf numFmtId="44" fontId="0" fillId="0" borderId="0" xfId="44" applyNumberFormat="1" applyFon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32" borderId="0" xfId="0" applyFill="1" applyAlignment="1">
      <alignment/>
    </xf>
    <xf numFmtId="167" fontId="0" fillId="32" borderId="0" xfId="44" applyNumberFormat="1" applyFont="1" applyFill="1" applyAlignment="1">
      <alignment/>
    </xf>
    <xf numFmtId="175" fontId="0" fillId="0" borderId="0" xfId="0" applyNumberFormat="1" applyAlignment="1">
      <alignment/>
    </xf>
    <xf numFmtId="0" fontId="0" fillId="33" borderId="0" xfId="0" applyFill="1" applyAlignment="1">
      <alignment/>
    </xf>
    <xf numFmtId="10" fontId="0" fillId="33" borderId="0" xfId="51" applyNumberFormat="1" applyFont="1" applyFill="1" applyAlignment="1">
      <alignment/>
    </xf>
    <xf numFmtId="0" fontId="5" fillId="32" borderId="0" xfId="0" applyFont="1" applyFill="1" applyAlignment="1">
      <alignment/>
    </xf>
    <xf numFmtId="9" fontId="0" fillId="32" borderId="0" xfId="51" applyFont="1" applyFill="1" applyAlignment="1">
      <alignment/>
    </xf>
    <xf numFmtId="0" fontId="2" fillId="32" borderId="0" xfId="0" applyFont="1" applyFill="1" applyAlignment="1">
      <alignment/>
    </xf>
    <xf numFmtId="44" fontId="2" fillId="32" borderId="0" xfId="0" applyNumberFormat="1" applyFont="1" applyFill="1" applyAlignment="1">
      <alignment/>
    </xf>
    <xf numFmtId="10" fontId="2" fillId="32" borderId="0" xfId="51" applyNumberFormat="1" applyFont="1" applyFill="1" applyAlignment="1">
      <alignment/>
    </xf>
    <xf numFmtId="10" fontId="2" fillId="3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10" fontId="6" fillId="0" borderId="0" xfId="51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Alignment="1">
      <alignment/>
    </xf>
    <xf numFmtId="0" fontId="7" fillId="4" borderId="0" xfId="0" applyFont="1" applyFill="1" applyAlignment="1">
      <alignment/>
    </xf>
    <xf numFmtId="0" fontId="6" fillId="4" borderId="0" xfId="0" applyFont="1" applyFill="1" applyAlignment="1">
      <alignment/>
    </xf>
    <xf numFmtId="44" fontId="2" fillId="0" borderId="0" xfId="0" applyNumberFormat="1" applyFont="1" applyAlignment="1">
      <alignment/>
    </xf>
    <xf numFmtId="10" fontId="2" fillId="0" borderId="0" xfId="51" applyNumberFormat="1" applyFont="1" applyAlignment="1">
      <alignment/>
    </xf>
    <xf numFmtId="44" fontId="2" fillId="0" borderId="0" xfId="44" applyFont="1" applyAlignment="1">
      <alignment/>
    </xf>
    <xf numFmtId="9" fontId="2" fillId="33" borderId="0" xfId="51" applyFont="1" applyFill="1" applyAlignment="1">
      <alignment/>
    </xf>
    <xf numFmtId="166" fontId="2" fillId="0" borderId="0" xfId="44" applyNumberFormat="1" applyFont="1" applyAlignment="1">
      <alignment/>
    </xf>
    <xf numFmtId="44" fontId="7" fillId="3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171" fontId="0" fillId="4" borderId="10" xfId="51" applyNumberFormat="1" applyFont="1" applyFill="1" applyBorder="1" applyAlignment="1">
      <alignment/>
    </xf>
    <xf numFmtId="10" fontId="2" fillId="35" borderId="0" xfId="51" applyNumberFormat="1" applyFont="1" applyFill="1" applyAlignment="1">
      <alignment/>
    </xf>
    <xf numFmtId="44" fontId="2" fillId="0" borderId="0" xfId="44" applyNumberFormat="1" applyFont="1" applyAlignment="1">
      <alignment/>
    </xf>
    <xf numFmtId="0" fontId="10" fillId="36" borderId="0" xfId="0" applyFont="1" applyFill="1" applyAlignment="1">
      <alignment/>
    </xf>
    <xf numFmtId="44" fontId="10" fillId="36" borderId="0" xfId="44" applyFont="1" applyFill="1" applyAlignment="1">
      <alignment/>
    </xf>
    <xf numFmtId="44" fontId="10" fillId="36" borderId="0" xfId="0" applyNumberFormat="1" applyFont="1" applyFill="1" applyAlignment="1">
      <alignment/>
    </xf>
    <xf numFmtId="178" fontId="10" fillId="36" borderId="0" xfId="46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0" fontId="2" fillId="33" borderId="15" xfId="51" applyNumberFormat="1" applyFont="1" applyFill="1" applyBorder="1" applyAlignment="1">
      <alignment horizontal="center"/>
    </xf>
    <xf numFmtId="10" fontId="2" fillId="33" borderId="16" xfId="51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83" fontId="2" fillId="35" borderId="0" xfId="0" applyNumberFormat="1" applyFont="1" applyFill="1" applyAlignment="1">
      <alignment/>
    </xf>
    <xf numFmtId="167" fontId="2" fillId="0" borderId="0" xfId="44" applyNumberFormat="1" applyFont="1" applyAlignment="1">
      <alignment/>
    </xf>
    <xf numFmtId="10" fontId="2" fillId="33" borderId="0" xfId="51" applyNumberFormat="1" applyFont="1" applyFill="1" applyAlignment="1">
      <alignment/>
    </xf>
    <xf numFmtId="0" fontId="2" fillId="29" borderId="0" xfId="0" applyFont="1" applyFill="1" applyAlignment="1">
      <alignment/>
    </xf>
    <xf numFmtId="0" fontId="0" fillId="29" borderId="0" xfId="0" applyFill="1" applyAlignment="1">
      <alignment/>
    </xf>
    <xf numFmtId="0" fontId="2" fillId="29" borderId="17" xfId="0" applyFont="1" applyFill="1" applyBorder="1" applyAlignment="1">
      <alignment/>
    </xf>
    <xf numFmtId="167" fontId="2" fillId="32" borderId="0" xfId="0" applyNumberFormat="1" applyFont="1" applyFill="1" applyAlignment="1">
      <alignment/>
    </xf>
    <xf numFmtId="10" fontId="2" fillId="29" borderId="0" xfId="51" applyNumberFormat="1" applyFont="1" applyFill="1" applyAlignment="1">
      <alignment/>
    </xf>
    <xf numFmtId="44" fontId="2" fillId="29" borderId="0" xfId="0" applyNumberFormat="1" applyFon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="118" zoomScaleNormal="118" zoomScalePageLayoutView="0" workbookViewId="0" topLeftCell="A21">
      <selection activeCell="A35" sqref="A35"/>
    </sheetView>
  </sheetViews>
  <sheetFormatPr defaultColWidth="9.140625" defaultRowHeight="12.75"/>
  <cols>
    <col min="2" max="2" width="9.57421875" style="0" bestFit="1" customWidth="1"/>
    <col min="3" max="3" width="12.57421875" style="0" customWidth="1"/>
    <col min="4" max="4" width="21.28125" style="0" customWidth="1"/>
    <col min="5" max="5" width="13.421875" style="0" bestFit="1" customWidth="1"/>
    <col min="6" max="6" width="12.421875" style="0" bestFit="1" customWidth="1"/>
    <col min="7" max="7" width="12.57421875" style="0" bestFit="1" customWidth="1"/>
    <col min="8" max="8" width="13.00390625" style="0" customWidth="1"/>
    <col min="9" max="9" width="15.7109375" style="0" customWidth="1"/>
    <col min="10" max="10" width="13.7109375" style="0" bestFit="1" customWidth="1"/>
    <col min="11" max="11" width="13.57421875" style="0" bestFit="1" customWidth="1"/>
    <col min="12" max="12" width="15.28125" style="0" bestFit="1" customWidth="1"/>
  </cols>
  <sheetData>
    <row r="1" spans="1:12" ht="15.75">
      <c r="A1" s="53" t="s">
        <v>62</v>
      </c>
      <c r="B1" s="54"/>
      <c r="C1" s="54"/>
      <c r="D1" s="54"/>
      <c r="E1" s="54"/>
      <c r="F1" s="54"/>
      <c r="G1" s="54"/>
      <c r="H1" s="54"/>
      <c r="I1" s="71" t="s">
        <v>133</v>
      </c>
      <c r="J1" s="72"/>
      <c r="K1" s="72"/>
      <c r="L1" s="72"/>
    </row>
    <row r="2" spans="1:12" ht="15.75">
      <c r="A2" s="55" t="s">
        <v>63</v>
      </c>
      <c r="B2" s="54"/>
      <c r="C2" s="54"/>
      <c r="D2" s="54"/>
      <c r="E2" s="54"/>
      <c r="F2" s="54"/>
      <c r="G2" s="54"/>
      <c r="H2" s="54"/>
      <c r="I2" s="4"/>
      <c r="J2" s="39" t="s">
        <v>22</v>
      </c>
      <c r="K2" s="39" t="s">
        <v>23</v>
      </c>
      <c r="L2" s="39" t="s">
        <v>25</v>
      </c>
    </row>
    <row r="3" spans="1:12" ht="15.75">
      <c r="A3" s="55" t="s">
        <v>65</v>
      </c>
      <c r="B3" s="54"/>
      <c r="C3" s="54"/>
      <c r="D3" s="54"/>
      <c r="E3" s="54"/>
      <c r="F3" s="54"/>
      <c r="G3" s="54"/>
      <c r="H3" s="54"/>
      <c r="I3" s="37" t="s">
        <v>118</v>
      </c>
      <c r="J3" s="4">
        <f>F6*E27</f>
        <v>113365.35000000002</v>
      </c>
      <c r="K3" s="4">
        <f>G6*G27</f>
        <v>159900</v>
      </c>
      <c r="L3" s="4">
        <f>J3+K3</f>
        <v>273265.35000000003</v>
      </c>
    </row>
    <row r="4" spans="9:12" ht="12.75">
      <c r="I4" s="37" t="s">
        <v>134</v>
      </c>
      <c r="J4" s="8">
        <f>J3/J25</f>
        <v>0.13217674424027612</v>
      </c>
      <c r="K4" s="8">
        <f>K3/K25</f>
        <v>0.3076715860768506</v>
      </c>
      <c r="L4" s="8">
        <f>L3/L25</f>
        <v>0.19839359222878056</v>
      </c>
    </row>
    <row r="5" spans="6:7" ht="12.75">
      <c r="F5" s="39" t="s">
        <v>22</v>
      </c>
      <c r="G5" s="39" t="s">
        <v>23</v>
      </c>
    </row>
    <row r="6" spans="2:12" ht="12.75">
      <c r="B6" s="37" t="s">
        <v>132</v>
      </c>
      <c r="E6" s="3">
        <f>SUM(F6:G6)</f>
        <v>300000</v>
      </c>
      <c r="F6" s="3">
        <v>105000</v>
      </c>
      <c r="G6" s="3">
        <v>195000</v>
      </c>
      <c r="I6" s="15" t="s">
        <v>64</v>
      </c>
      <c r="K6" s="9" t="s">
        <v>15</v>
      </c>
      <c r="L6" s="9" t="s">
        <v>115</v>
      </c>
    </row>
    <row r="8" spans="2:11" ht="12.75">
      <c r="B8" t="s">
        <v>0</v>
      </c>
      <c r="E8" s="1">
        <v>87000</v>
      </c>
      <c r="F8" s="1">
        <f>E20*F6</f>
        <v>30449.999999999996</v>
      </c>
      <c r="G8" s="1">
        <f>G6*G20</f>
        <v>56549.99999999999</v>
      </c>
      <c r="J8">
        <v>2000</v>
      </c>
      <c r="K8" s="1">
        <v>206583</v>
      </c>
    </row>
    <row r="9" spans="2:12" ht="12.75">
      <c r="B9" t="s">
        <v>1</v>
      </c>
      <c r="E9" s="4">
        <f>E10+E11</f>
        <v>63000</v>
      </c>
      <c r="F9" s="1">
        <f>E21*F6</f>
        <v>22050</v>
      </c>
      <c r="G9" s="1">
        <f>G21*G6</f>
        <v>40950</v>
      </c>
      <c r="J9">
        <v>2001</v>
      </c>
      <c r="K9" s="1">
        <v>232406</v>
      </c>
      <c r="L9" s="8">
        <f>(K9-K8)/K8</f>
        <v>0.12500060508367097</v>
      </c>
    </row>
    <row r="10" spans="3:12" ht="12.75">
      <c r="C10" t="s">
        <v>2</v>
      </c>
      <c r="E10" s="1">
        <v>53000</v>
      </c>
      <c r="J10">
        <v>2002</v>
      </c>
      <c r="K10" s="1">
        <v>255646</v>
      </c>
      <c r="L10" s="8">
        <f>(K10-K9)/K9</f>
        <v>0.0999974183110591</v>
      </c>
    </row>
    <row r="11" spans="3:12" ht="12.75">
      <c r="C11" t="s">
        <v>3</v>
      </c>
      <c r="E11" s="1">
        <v>10000</v>
      </c>
      <c r="J11">
        <v>2003</v>
      </c>
      <c r="K11" s="1">
        <v>275556</v>
      </c>
      <c r="L11" s="8">
        <f>(K11-K10)/K10</f>
        <v>0.07788113250354005</v>
      </c>
    </row>
    <row r="12" spans="2:7" ht="12.75">
      <c r="B12" t="s">
        <v>4</v>
      </c>
      <c r="E12" s="1">
        <v>6150</v>
      </c>
      <c r="F12" s="1">
        <f>F6*E22</f>
        <v>4200</v>
      </c>
      <c r="G12" s="1">
        <f>G22*G6</f>
        <v>1950</v>
      </c>
    </row>
    <row r="13" spans="2:7" ht="12.75">
      <c r="B13" t="s">
        <v>5</v>
      </c>
      <c r="E13" s="1">
        <v>7050</v>
      </c>
      <c r="F13" s="1">
        <f>E23*F6</f>
        <v>3150</v>
      </c>
      <c r="G13" s="1">
        <f>G23*G6</f>
        <v>3900</v>
      </c>
    </row>
    <row r="14" spans="2:10" ht="12.75">
      <c r="B14" t="s">
        <v>6</v>
      </c>
      <c r="J14" s="9" t="s">
        <v>16</v>
      </c>
    </row>
    <row r="15" spans="3:12" ht="12.75">
      <c r="C15" t="s">
        <v>7</v>
      </c>
      <c r="E15" s="1">
        <v>16800</v>
      </c>
      <c r="F15" s="12">
        <f>B24*E27*F6</f>
        <v>16799.99665869</v>
      </c>
      <c r="J15" t="s">
        <v>17</v>
      </c>
      <c r="L15" s="7">
        <v>0.22</v>
      </c>
    </row>
    <row r="16" spans="2:12" ht="12.75">
      <c r="B16" t="s">
        <v>8</v>
      </c>
      <c r="E16" s="1">
        <v>80934</v>
      </c>
      <c r="I16" s="4"/>
      <c r="J16" t="s">
        <v>18</v>
      </c>
      <c r="L16" s="7">
        <v>0.2</v>
      </c>
    </row>
    <row r="17" spans="5:12" ht="12.75">
      <c r="E17" s="4"/>
      <c r="J17" s="18" t="s">
        <v>19</v>
      </c>
      <c r="K17" s="18"/>
      <c r="L17" s="24">
        <v>0.2</v>
      </c>
    </row>
    <row r="18" spans="5:12" ht="12.75">
      <c r="E18" s="39" t="s">
        <v>22</v>
      </c>
      <c r="G18" s="39" t="s">
        <v>23</v>
      </c>
      <c r="J18" t="s">
        <v>20</v>
      </c>
      <c r="L18" s="7">
        <v>0.12</v>
      </c>
    </row>
    <row r="19" spans="2:12" ht="12.75">
      <c r="B19" t="s">
        <v>9</v>
      </c>
      <c r="J19" t="s">
        <v>21</v>
      </c>
      <c r="L19" s="7">
        <v>0.26</v>
      </c>
    </row>
    <row r="20" spans="3:12" ht="12.75">
      <c r="C20" t="s">
        <v>10</v>
      </c>
      <c r="E20" s="5">
        <f>E8/E6</f>
        <v>0.29</v>
      </c>
      <c r="G20" s="5">
        <f>E8/E6</f>
        <v>0.29</v>
      </c>
      <c r="L20" s="11">
        <f>SUM(L15:L19)</f>
        <v>1</v>
      </c>
    </row>
    <row r="21" spans="3:7" ht="12.75">
      <c r="C21" t="s">
        <v>11</v>
      </c>
      <c r="E21" s="6">
        <f>(E10/E6)+(E11/E6)</f>
        <v>0.21</v>
      </c>
      <c r="G21" s="6">
        <f>(E10/E6)+(E11/E6)</f>
        <v>0.21</v>
      </c>
    </row>
    <row r="22" spans="3:7" ht="12.75">
      <c r="C22" t="s">
        <v>4</v>
      </c>
      <c r="E22" s="6">
        <v>0.04</v>
      </c>
      <c r="G22" s="6">
        <v>0.01</v>
      </c>
    </row>
    <row r="23" spans="3:10" ht="12.75">
      <c r="C23" t="s">
        <v>5</v>
      </c>
      <c r="E23" s="6">
        <v>0.03</v>
      </c>
      <c r="G23" s="6">
        <v>0.02</v>
      </c>
      <c r="J23" s="9" t="s">
        <v>24</v>
      </c>
    </row>
    <row r="24" spans="2:12" ht="12.75">
      <c r="B24" s="56">
        <v>0.1481934</v>
      </c>
      <c r="C24" t="s">
        <v>7</v>
      </c>
      <c r="E24" s="4">
        <v>0.16</v>
      </c>
      <c r="G24" s="1">
        <v>0</v>
      </c>
      <c r="J24" t="s">
        <v>22</v>
      </c>
      <c r="K24" t="s">
        <v>23</v>
      </c>
      <c r="L24" t="s">
        <v>25</v>
      </c>
    </row>
    <row r="25" spans="2:12" ht="12.75">
      <c r="B25" s="9" t="s">
        <v>12</v>
      </c>
      <c r="C25" s="9"/>
      <c r="D25" s="9"/>
      <c r="E25" s="10">
        <f>SUM(E20:E24)</f>
        <v>0.7300000000000001</v>
      </c>
      <c r="F25" s="9"/>
      <c r="G25" s="10">
        <f>SUM(G20:G24)</f>
        <v>0.53</v>
      </c>
      <c r="J25" s="1">
        <v>857680</v>
      </c>
      <c r="K25" s="1">
        <v>519710</v>
      </c>
      <c r="L25" s="4">
        <f>SUM(J25:K25)</f>
        <v>1377390</v>
      </c>
    </row>
    <row r="26" ht="12.75">
      <c r="E26" s="20"/>
    </row>
    <row r="27" spans="2:10" ht="12.75">
      <c r="B27" s="9" t="s">
        <v>108</v>
      </c>
      <c r="C27" s="9"/>
      <c r="D27" s="9"/>
      <c r="E27" s="78">
        <f>E25*(1+E29)</f>
        <v>1.0796700000000001</v>
      </c>
      <c r="F27" s="9"/>
      <c r="G27" s="78">
        <v>0.82</v>
      </c>
      <c r="J27" s="9" t="s">
        <v>67</v>
      </c>
    </row>
    <row r="28" spans="2:11" ht="12.75">
      <c r="B28" s="23" t="s">
        <v>71</v>
      </c>
      <c r="C28" s="18"/>
      <c r="D28" s="18"/>
      <c r="E28" s="18"/>
      <c r="F28" s="19">
        <f>E25*(1+E29)</f>
        <v>1.0796700000000001</v>
      </c>
      <c r="G28" s="18"/>
      <c r="H28" s="19">
        <f>G25*(1+G29)</f>
        <v>0.819963</v>
      </c>
      <c r="J28" t="s">
        <v>26</v>
      </c>
      <c r="K28" t="s">
        <v>27</v>
      </c>
    </row>
    <row r="29" spans="2:12" ht="12.75">
      <c r="B29" t="s">
        <v>122</v>
      </c>
      <c r="E29" s="57">
        <v>0.479</v>
      </c>
      <c r="F29" s="77">
        <f>E27/E25</f>
        <v>1.479</v>
      </c>
      <c r="G29" s="57">
        <v>0.5471</v>
      </c>
      <c r="H29" s="77">
        <f>G27/G25</f>
        <v>1.5471698113207546</v>
      </c>
      <c r="J29">
        <v>-1.8</v>
      </c>
      <c r="K29" s="7">
        <v>0.05</v>
      </c>
      <c r="L29" s="8"/>
    </row>
    <row r="30" spans="10:11" ht="12.75">
      <c r="J30">
        <v>-2.1</v>
      </c>
      <c r="K30" s="7">
        <v>0.1</v>
      </c>
    </row>
    <row r="31" spans="2:11" ht="12.75">
      <c r="B31" s="37" t="s">
        <v>149</v>
      </c>
      <c r="E31" s="6">
        <f>E16/E6</f>
        <v>0.26978</v>
      </c>
      <c r="G31" s="6">
        <f>E16/E6</f>
        <v>0.26978</v>
      </c>
      <c r="J31">
        <v>-2.5</v>
      </c>
      <c r="K31" s="7">
        <v>0.15</v>
      </c>
    </row>
    <row r="32" spans="10:11" ht="12.75">
      <c r="J32">
        <v>-3.2</v>
      </c>
      <c r="K32" s="7">
        <v>0.2</v>
      </c>
    </row>
    <row r="33" spans="2:7" ht="12.75">
      <c r="B33" s="9" t="s">
        <v>13</v>
      </c>
      <c r="C33" s="9"/>
      <c r="D33" s="9"/>
      <c r="E33" s="58">
        <f>E25+E31</f>
        <v>0.9997800000000001</v>
      </c>
      <c r="F33" s="47"/>
      <c r="G33" s="58">
        <f>G25+G31</f>
        <v>0.79978</v>
      </c>
    </row>
    <row r="34" ht="12.75">
      <c r="J34" s="9" t="s">
        <v>66</v>
      </c>
    </row>
    <row r="35" spans="2:11" ht="12.75">
      <c r="B35" t="s">
        <v>14</v>
      </c>
      <c r="E35" s="5">
        <f>E27-E33</f>
        <v>0.07989000000000002</v>
      </c>
      <c r="G35" s="5">
        <f>G27-G33</f>
        <v>0.020219999999999905</v>
      </c>
      <c r="J35" t="s">
        <v>26</v>
      </c>
      <c r="K35" t="s">
        <v>27</v>
      </c>
    </row>
    <row r="36" spans="10:11" ht="12.75">
      <c r="J36">
        <v>-0.4</v>
      </c>
      <c r="K36" s="7">
        <v>0.05</v>
      </c>
    </row>
    <row r="37" spans="2:11" ht="12.75">
      <c r="B37" t="s">
        <v>72</v>
      </c>
      <c r="E37" s="8">
        <f>E35/E33</f>
        <v>0.07990757966752686</v>
      </c>
      <c r="G37" s="8">
        <f>G35/G33</f>
        <v>0.02528195253694754</v>
      </c>
      <c r="J37">
        <v>-0.5</v>
      </c>
      <c r="K37" s="7">
        <v>0.1</v>
      </c>
    </row>
    <row r="38" spans="2:11" ht="12.75">
      <c r="B38" s="40" t="s">
        <v>73</v>
      </c>
      <c r="C38" s="40"/>
      <c r="D38" s="40"/>
      <c r="E38" s="79">
        <f>E35/E27</f>
        <v>0.0739948317541471</v>
      </c>
      <c r="F38" s="40"/>
      <c r="G38" s="79">
        <f>G35/G27</f>
        <v>0.02465853658536574</v>
      </c>
      <c r="J38">
        <v>-0.6</v>
      </c>
      <c r="K38" s="7">
        <v>0.15</v>
      </c>
    </row>
    <row r="39" spans="10:11" ht="12.75">
      <c r="J39">
        <v>-0.75</v>
      </c>
      <c r="K39" s="7">
        <v>0.2</v>
      </c>
    </row>
    <row r="40" spans="1:11" ht="15.75">
      <c r="A40" s="41" t="s">
        <v>74</v>
      </c>
      <c r="B40" s="21"/>
      <c r="C40" s="21"/>
      <c r="D40" s="21"/>
      <c r="E40" s="21"/>
      <c r="F40" s="21"/>
      <c r="G40" s="21"/>
      <c r="H40" s="21"/>
      <c r="I40" s="21"/>
      <c r="K40" s="7"/>
    </row>
    <row r="42" ht="12.75">
      <c r="B42" s="42" t="s">
        <v>28</v>
      </c>
    </row>
    <row r="43" spans="2:13" s="9" customFormat="1" ht="12.75"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>
      <c r="B44" s="9" t="s">
        <v>29</v>
      </c>
      <c r="C44" s="9"/>
      <c r="D44" s="9"/>
      <c r="E44" s="9" t="s">
        <v>30</v>
      </c>
      <c r="F44" s="9"/>
      <c r="G44" s="9"/>
      <c r="H44" s="9" t="s">
        <v>31</v>
      </c>
      <c r="I44" s="9"/>
      <c r="J44" s="9"/>
      <c r="K44" s="9"/>
      <c r="L44" s="9"/>
      <c r="M44" s="9"/>
    </row>
    <row r="45" ht="12.75">
      <c r="E45" t="s">
        <v>44</v>
      </c>
    </row>
    <row r="47" spans="2:8" ht="12.75">
      <c r="B47" t="s">
        <v>32</v>
      </c>
      <c r="E47" t="s">
        <v>37</v>
      </c>
      <c r="H47" t="s">
        <v>42</v>
      </c>
    </row>
    <row r="48" spans="2:5" ht="12.75">
      <c r="B48" t="s">
        <v>33</v>
      </c>
      <c r="E48" t="s">
        <v>34</v>
      </c>
    </row>
    <row r="49" spans="2:5" ht="12.75">
      <c r="B49" t="s">
        <v>34</v>
      </c>
      <c r="E49" t="s">
        <v>38</v>
      </c>
    </row>
    <row r="51" spans="2:8" ht="12.75">
      <c r="B51" t="s">
        <v>35</v>
      </c>
      <c r="E51" t="s">
        <v>39</v>
      </c>
      <c r="H51" t="s">
        <v>43</v>
      </c>
    </row>
    <row r="52" spans="2:5" ht="12.75">
      <c r="B52" t="s">
        <v>36</v>
      </c>
      <c r="E52" t="s">
        <v>40</v>
      </c>
    </row>
    <row r="53" ht="12.75">
      <c r="E53" t="s">
        <v>41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130" zoomScaleNormal="130" zoomScalePageLayoutView="0" workbookViewId="0" topLeftCell="A45">
      <selection activeCell="A68" sqref="A68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5.421875" style="0" customWidth="1"/>
    <col min="4" max="5" width="13.140625" style="0" bestFit="1" customWidth="1"/>
    <col min="6" max="6" width="13.00390625" style="0" bestFit="1" customWidth="1"/>
    <col min="7" max="7" width="9.28125" style="0" bestFit="1" customWidth="1"/>
  </cols>
  <sheetData>
    <row r="1" spans="1:12" s="16" customFormat="1" ht="15.75">
      <c r="A1" s="43" t="s">
        <v>129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5" ht="12.75">
      <c r="B2" s="25" t="s">
        <v>53</v>
      </c>
      <c r="C2" s="25"/>
      <c r="D2" s="83">
        <f>'Dati di Base'!E27</f>
        <v>1.0796700000000001</v>
      </c>
      <c r="E2" s="83">
        <f>'Dati di Base'!G27</f>
        <v>0.82</v>
      </c>
    </row>
    <row r="3" spans="4:6" ht="12.75">
      <c r="D3" s="9" t="s">
        <v>22</v>
      </c>
      <c r="E3" s="9" t="s">
        <v>23</v>
      </c>
      <c r="F3" s="9" t="s">
        <v>25</v>
      </c>
    </row>
    <row r="4" spans="2:6" ht="12.75">
      <c r="B4" s="9" t="s">
        <v>45</v>
      </c>
      <c r="D4" s="3">
        <f>'Dati di Base'!F6</f>
        <v>105000</v>
      </c>
      <c r="E4" s="3">
        <f>'Dati di Base'!G6</f>
        <v>195000</v>
      </c>
      <c r="F4" s="3">
        <f>SUM(D4:E4)</f>
        <v>300000</v>
      </c>
    </row>
    <row r="5" spans="2:5" ht="12.75">
      <c r="B5" t="s">
        <v>47</v>
      </c>
      <c r="D5" s="4">
        <f>'Dati di Base'!E27-'Dati di Base'!E25</f>
        <v>0.34967000000000004</v>
      </c>
      <c r="E5" s="4">
        <f>'Dati di Base'!G27-'Dati di Base'!G25</f>
        <v>0.2899999999999999</v>
      </c>
    </row>
    <row r="6" spans="2:6" ht="12.75">
      <c r="B6" t="s">
        <v>8</v>
      </c>
      <c r="F6" s="4">
        <f>'Dati di Base'!E16</f>
        <v>80934</v>
      </c>
    </row>
    <row r="7" ht="13.5" thickBot="1"/>
    <row r="8" spans="2:9" ht="13.5" thickBot="1">
      <c r="B8" s="37" t="s">
        <v>156</v>
      </c>
      <c r="D8" s="1">
        <f>D4*I8</f>
        <v>28326.9</v>
      </c>
      <c r="E8" s="1">
        <f>E4*I8</f>
        <v>52607.100000000006</v>
      </c>
      <c r="G8" s="80" t="s">
        <v>150</v>
      </c>
      <c r="H8" s="81"/>
      <c r="I8" s="82">
        <f>F6/F4</f>
        <v>0.26978</v>
      </c>
    </row>
    <row r="9" spans="2:5" ht="12.75">
      <c r="B9" t="s">
        <v>50</v>
      </c>
      <c r="D9" s="4">
        <f>('Dati di Base'!E25*'Elaborazioni di costo'!D4)+D8</f>
        <v>104976.90000000002</v>
      </c>
      <c r="E9" s="4">
        <f>('Dati di Base'!G25*'Elaborazioni di costo'!E4)+E8</f>
        <v>155957.1</v>
      </c>
    </row>
    <row r="10" spans="2:5" ht="12.75">
      <c r="B10" s="9" t="s">
        <v>109</v>
      </c>
      <c r="C10" s="9"/>
      <c r="D10" s="45">
        <f>D9/D4</f>
        <v>0.9997800000000002</v>
      </c>
      <c r="E10" s="45">
        <f>E9/E4</f>
        <v>0.79978</v>
      </c>
    </row>
    <row r="11" spans="2:5" ht="12.75">
      <c r="B11" t="s">
        <v>46</v>
      </c>
      <c r="D11" s="2">
        <f>D8/D5</f>
        <v>81010.38121657562</v>
      </c>
      <c r="E11" s="2">
        <f>E8/E5</f>
        <v>181403.79310344835</v>
      </c>
    </row>
    <row r="13" spans="2:6" ht="12.75">
      <c r="B13" s="59" t="s">
        <v>48</v>
      </c>
      <c r="C13" s="59"/>
      <c r="D13" s="60">
        <f>D5*D4</f>
        <v>36715.350000000006</v>
      </c>
      <c r="E13" s="60">
        <f>E5*E4</f>
        <v>56549.999999999985</v>
      </c>
      <c r="F13" s="61">
        <f>SUM(D13:E13)</f>
        <v>93265.34999999999</v>
      </c>
    </row>
    <row r="14" spans="2:6" ht="12.75">
      <c r="B14" s="9" t="s">
        <v>49</v>
      </c>
      <c r="C14" s="9"/>
      <c r="D14" s="45">
        <f>D13-D8</f>
        <v>8388.450000000004</v>
      </c>
      <c r="E14" s="45">
        <f>E13-E8</f>
        <v>3942.8999999999796</v>
      </c>
      <c r="F14" s="45">
        <f>F13-F6</f>
        <v>12331.349999999991</v>
      </c>
    </row>
    <row r="15" spans="2:6" ht="12.75">
      <c r="B15" s="9" t="s">
        <v>120</v>
      </c>
      <c r="C15" s="9"/>
      <c r="D15" s="46">
        <f>D14/D9</f>
        <v>0.07990757966752687</v>
      </c>
      <c r="E15" s="46">
        <f>E14/E9</f>
        <v>0.025281952536947528</v>
      </c>
      <c r="F15" s="9"/>
    </row>
    <row r="16" spans="2:6" ht="12.75">
      <c r="B16" s="80" t="s">
        <v>151</v>
      </c>
      <c r="C16" s="80"/>
      <c r="D16" s="84">
        <f>D14/'Dati di Base'!J3</f>
        <v>0.07399483175414713</v>
      </c>
      <c r="E16" s="84">
        <f>E14/'Dati di Base'!K3</f>
        <v>0.024658536585365726</v>
      </c>
      <c r="F16" s="9"/>
    </row>
    <row r="17" spans="4:5" ht="12.75">
      <c r="D17" s="8"/>
      <c r="E17" s="8"/>
    </row>
    <row r="18" spans="1:6" ht="12.75">
      <c r="A18" s="34" t="s">
        <v>152</v>
      </c>
      <c r="B18" s="34"/>
      <c r="C18" s="34"/>
      <c r="D18" s="34"/>
      <c r="E18" s="34"/>
      <c r="F18" s="34"/>
    </row>
    <row r="19" spans="1:12" ht="12.75">
      <c r="A19" s="34" t="s">
        <v>153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2.75">
      <c r="A20" s="34" t="s">
        <v>75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2.75">
      <c r="A21" s="34" t="s">
        <v>154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>
      <c r="A22" s="34" t="s">
        <v>155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2.75">
      <c r="A23" s="36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s="16" customFormat="1" ht="15.75">
      <c r="A24" s="43" t="s">
        <v>130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2:5" s="29" customFormat="1" ht="12.75">
      <c r="B25" s="25" t="s">
        <v>53</v>
      </c>
      <c r="C25" s="25"/>
      <c r="D25" s="83">
        <f>D2</f>
        <v>1.0796700000000001</v>
      </c>
      <c r="E25" s="83">
        <f>E2</f>
        <v>0.82</v>
      </c>
    </row>
    <row r="26" spans="4:7" ht="12.75">
      <c r="D26" s="9" t="s">
        <v>22</v>
      </c>
      <c r="E26" s="9" t="s">
        <v>23</v>
      </c>
      <c r="F26" s="9" t="s">
        <v>25</v>
      </c>
      <c r="G26" s="9"/>
    </row>
    <row r="27" spans="2:6" ht="12.75">
      <c r="B27" s="9" t="s">
        <v>116</v>
      </c>
      <c r="D27" s="1">
        <f>'Dati di Base'!E25*'Elaborazioni di costo'!D4</f>
        <v>76650.00000000001</v>
      </c>
      <c r="E27" s="1">
        <f>'Dati di Base'!G25*'Elaborazioni di costo'!E4</f>
        <v>103350</v>
      </c>
      <c r="F27" s="1">
        <f>SUM(D27:E27)</f>
        <v>180000</v>
      </c>
    </row>
    <row r="28" spans="2:5" ht="12.75">
      <c r="B28" t="s">
        <v>47</v>
      </c>
      <c r="D28" s="4">
        <f>'Dati di Base'!E27-'Dati di Base'!E25</f>
        <v>0.34967000000000004</v>
      </c>
      <c r="E28" s="4">
        <f>'Dati di Base'!G27-'Dati di Base'!G25</f>
        <v>0.2899999999999999</v>
      </c>
    </row>
    <row r="29" spans="2:6" ht="12.75">
      <c r="B29" t="s">
        <v>8</v>
      </c>
      <c r="F29" s="4">
        <f>'Dati di Base'!E16</f>
        <v>80934</v>
      </c>
    </row>
    <row r="30" ht="13.5" thickBot="1"/>
    <row r="31" spans="2:9" ht="13.5" thickBot="1">
      <c r="B31" s="37" t="s">
        <v>156</v>
      </c>
      <c r="D31" s="1">
        <f>D27*I31</f>
        <v>34464.395000000004</v>
      </c>
      <c r="E31" s="13">
        <f>E27*I31</f>
        <v>46469.605</v>
      </c>
      <c r="G31" s="80" t="s">
        <v>150</v>
      </c>
      <c r="H31" s="81"/>
      <c r="I31" s="82">
        <f>F29/F27</f>
        <v>0.44963333333333333</v>
      </c>
    </row>
    <row r="32" spans="2:5" ht="12.75">
      <c r="B32" t="s">
        <v>50</v>
      </c>
      <c r="D32" s="4">
        <f>D27+D31</f>
        <v>111114.39500000002</v>
      </c>
      <c r="E32" s="4">
        <f>E31+E27</f>
        <v>149819.605</v>
      </c>
    </row>
    <row r="33" spans="2:5" ht="12.75">
      <c r="B33" s="80" t="s">
        <v>110</v>
      </c>
      <c r="C33" s="80"/>
      <c r="D33" s="85">
        <f>D32/D4</f>
        <v>1.0582323333333334</v>
      </c>
      <c r="E33" s="85">
        <f>E32/E4</f>
        <v>0.7683056666666668</v>
      </c>
    </row>
    <row r="34" spans="2:5" ht="12.75">
      <c r="B34" t="s">
        <v>46</v>
      </c>
      <c r="D34" s="2">
        <f>D31/D28</f>
        <v>98562.63048016702</v>
      </c>
      <c r="E34" s="2">
        <f>E31/E28</f>
        <v>160240.01724137936</v>
      </c>
    </row>
    <row r="36" spans="2:6" ht="12.75">
      <c r="B36" s="59" t="s">
        <v>48</v>
      </c>
      <c r="C36" s="59"/>
      <c r="D36" s="62">
        <f>D28*D4</f>
        <v>36715.350000000006</v>
      </c>
      <c r="E36" s="62">
        <f>E28*E4</f>
        <v>56549.999999999985</v>
      </c>
      <c r="F36" s="62">
        <f>SUM(D36:E36)</f>
        <v>93265.34999999999</v>
      </c>
    </row>
    <row r="37" spans="2:6" ht="12.75">
      <c r="B37" s="9" t="s">
        <v>49</v>
      </c>
      <c r="C37" s="9"/>
      <c r="D37" s="45">
        <f>D36-D31</f>
        <v>2250.9550000000017</v>
      </c>
      <c r="E37" s="45">
        <f>E36-E31</f>
        <v>10080.394999999982</v>
      </c>
      <c r="F37" s="45">
        <f>SUM(D37:E37)</f>
        <v>12331.349999999984</v>
      </c>
    </row>
    <row r="38" spans="2:6" ht="12.75">
      <c r="B38" s="9" t="s">
        <v>120</v>
      </c>
      <c r="C38" s="9"/>
      <c r="D38" s="46">
        <f>D37/D32</f>
        <v>0.020257996274920108</v>
      </c>
      <c r="E38" s="46">
        <f>E37/E32</f>
        <v>0.06728355077427939</v>
      </c>
      <c r="F38" s="9"/>
    </row>
    <row r="39" spans="2:6" ht="12.75">
      <c r="B39" s="80" t="s">
        <v>151</v>
      </c>
      <c r="C39" s="80"/>
      <c r="D39" s="84">
        <f>D37/'Dati di Base'!J3</f>
        <v>0.01985575839531216</v>
      </c>
      <c r="E39" s="84">
        <f>E37/'Dati di Base'!K3</f>
        <v>0.06304186991869908</v>
      </c>
      <c r="F39" s="9"/>
    </row>
    <row r="41" spans="1:6" ht="12.75">
      <c r="A41" s="34" t="s">
        <v>152</v>
      </c>
      <c r="B41" s="34"/>
      <c r="C41" s="34"/>
      <c r="D41" s="34"/>
      <c r="E41" s="34"/>
      <c r="F41" s="34"/>
    </row>
    <row r="42" spans="1:15" ht="12.75">
      <c r="A42" s="34" t="s">
        <v>76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>
      <c r="A43" s="34" t="s">
        <v>117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5" spans="2:5" ht="12.75">
      <c r="B45" s="63"/>
      <c r="C45" s="64"/>
      <c r="D45" s="65" t="s">
        <v>22</v>
      </c>
      <c r="E45" s="66" t="s">
        <v>23</v>
      </c>
    </row>
    <row r="46" spans="2:5" ht="12.75">
      <c r="B46" s="67" t="s">
        <v>121</v>
      </c>
      <c r="C46" s="68"/>
      <c r="D46" s="69">
        <f>D28/'Dati di Base'!E27</f>
        <v>0.32386747802569305</v>
      </c>
      <c r="E46" s="70">
        <f>E28/'Dati di Base'!G27</f>
        <v>0.3536585365853658</v>
      </c>
    </row>
    <row r="47" ht="12.75">
      <c r="E47" s="9"/>
    </row>
    <row r="48" spans="1:13" ht="12.75">
      <c r="A48" s="34" t="s">
        <v>77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="29" customFormat="1" ht="12.75">
      <c r="B49" s="36"/>
    </row>
    <row r="50" s="29" customFormat="1" ht="12.75">
      <c r="B50" s="36"/>
    </row>
    <row r="51" spans="4:5" s="29" customFormat="1" ht="12.75">
      <c r="D51" s="38" t="s">
        <v>22</v>
      </c>
      <c r="E51" s="38" t="s">
        <v>23</v>
      </c>
    </row>
    <row r="52" spans="2:5" ht="12.75">
      <c r="B52" t="s">
        <v>123</v>
      </c>
      <c r="D52" s="14">
        <f>'Dati di Base'!E29</f>
        <v>0.479</v>
      </c>
      <c r="E52" s="14">
        <f>'Dati di Base'!G29</f>
        <v>0.5471</v>
      </c>
    </row>
    <row r="53" spans="2:5" ht="12.75">
      <c r="B53" s="9" t="s">
        <v>124</v>
      </c>
      <c r="C53" s="9"/>
      <c r="D53" s="45">
        <f>D25</f>
        <v>1.0796700000000001</v>
      </c>
      <c r="E53" s="45">
        <f>E25</f>
        <v>0.82</v>
      </c>
    </row>
    <row r="54" spans="4:5" ht="12.75">
      <c r="D54" s="36"/>
      <c r="E54" s="36"/>
    </row>
    <row r="55" spans="2:5" ht="12.75">
      <c r="B55" t="s">
        <v>111</v>
      </c>
      <c r="D55" s="1">
        <f>'Dati di Base'!E25</f>
        <v>0.7300000000000001</v>
      </c>
      <c r="E55" s="1">
        <f>'Dati di Base'!G25</f>
        <v>0.53</v>
      </c>
    </row>
    <row r="56" spans="2:8" ht="12.75">
      <c r="B56" s="9" t="s">
        <v>50</v>
      </c>
      <c r="C56" s="9"/>
      <c r="D56" s="45">
        <f>D10</f>
        <v>0.9997800000000002</v>
      </c>
      <c r="E56" s="45">
        <f>E10</f>
        <v>0.79978</v>
      </c>
      <c r="F56" s="9" t="s">
        <v>125</v>
      </c>
      <c r="G56" s="9"/>
      <c r="H56" s="9"/>
    </row>
    <row r="57" spans="2:6" ht="12.75">
      <c r="B57" s="37" t="s">
        <v>127</v>
      </c>
      <c r="D57" s="8">
        <f>(D53-D56)/D53</f>
        <v>0.073994831754147</v>
      </c>
      <c r="E57" s="8">
        <f>(E53-E56)/E53</f>
        <v>0.02465853658536574</v>
      </c>
      <c r="F57" s="37"/>
    </row>
    <row r="58" spans="2:6" ht="12.75">
      <c r="B58" s="9" t="s">
        <v>50</v>
      </c>
      <c r="C58" s="9"/>
      <c r="D58" s="45">
        <f>D33</f>
        <v>1.0582323333333334</v>
      </c>
      <c r="E58" s="45">
        <f>E33</f>
        <v>0.7683056666666668</v>
      </c>
      <c r="F58" s="9" t="s">
        <v>126</v>
      </c>
    </row>
    <row r="59" spans="2:6" ht="12.75">
      <c r="B59" s="37" t="s">
        <v>127</v>
      </c>
      <c r="D59" s="8">
        <f>(D53-D58)/D53</f>
        <v>0.019855758395312166</v>
      </c>
      <c r="E59" s="8">
        <f>(E53-E58)/E53</f>
        <v>0.06304186991869899</v>
      </c>
      <c r="F59" s="37"/>
    </row>
    <row r="61" spans="2:5" ht="12.75">
      <c r="B61" t="s">
        <v>128</v>
      </c>
      <c r="D61" s="14">
        <v>0.05</v>
      </c>
      <c r="E61" s="14">
        <v>0.1</v>
      </c>
    </row>
    <row r="62" spans="2:6" ht="12.75">
      <c r="B62" s="9" t="s">
        <v>112</v>
      </c>
      <c r="C62" s="9"/>
      <c r="D62" s="47">
        <f>D56*(1+D61)</f>
        <v>1.0497690000000002</v>
      </c>
      <c r="E62" s="47">
        <f>E56*(1+E61)</f>
        <v>0.8797580000000002</v>
      </c>
      <c r="F62" s="4"/>
    </row>
    <row r="63" spans="2:5" ht="12.75">
      <c r="B63" s="9" t="s">
        <v>113</v>
      </c>
      <c r="C63" s="9"/>
      <c r="D63" s="47">
        <f>D58*(1+D61)</f>
        <v>1.1111439500000002</v>
      </c>
      <c r="E63" s="47">
        <f>E58*(1+E61)</f>
        <v>0.8451362333333335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zoomScale="140" zoomScaleNormal="140" zoomScalePageLayoutView="0" workbookViewId="0" topLeftCell="A1">
      <selection activeCell="A14" sqref="A14"/>
    </sheetView>
  </sheetViews>
  <sheetFormatPr defaultColWidth="9.140625" defaultRowHeight="12.75"/>
  <cols>
    <col min="2" max="2" width="17.57421875" style="0" customWidth="1"/>
    <col min="3" max="3" width="23.00390625" style="0" bestFit="1" customWidth="1"/>
    <col min="4" max="4" width="24.7109375" style="0" bestFit="1" customWidth="1"/>
  </cols>
  <sheetData>
    <row r="2" spans="1:11" ht="12.75">
      <c r="A2" s="34" t="s">
        <v>78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34" t="s">
        <v>79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ht="12.75">
      <c r="B4" s="9"/>
    </row>
    <row r="5" ht="12.75">
      <c r="B5" s="9"/>
    </row>
    <row r="7" ht="12.75">
      <c r="B7" s="9" t="s">
        <v>80</v>
      </c>
    </row>
    <row r="8" spans="2:4" ht="12.75">
      <c r="B8" t="s">
        <v>81</v>
      </c>
      <c r="C8" s="21" t="s">
        <v>52</v>
      </c>
      <c r="D8" t="s">
        <v>51</v>
      </c>
    </row>
    <row r="9" spans="2:12" ht="12.75">
      <c r="B9" s="11">
        <f>-'Dati di Base'!K29</f>
        <v>-0.05</v>
      </c>
      <c r="C9" s="22">
        <f>-B9/('Elaborazioni di costo'!E46+'Variazione dei prezzi'!B9)</f>
        <v>0.16465863453815266</v>
      </c>
      <c r="D9" s="8">
        <f>B9*'Dati di Base'!J29</f>
        <v>0.09000000000000001</v>
      </c>
      <c r="E9" s="21" t="s">
        <v>82</v>
      </c>
      <c r="F9" s="21"/>
      <c r="G9" s="21"/>
      <c r="H9" s="21"/>
      <c r="I9" s="21"/>
      <c r="J9" s="21"/>
      <c r="K9" s="21"/>
      <c r="L9" s="21"/>
    </row>
    <row r="10" spans="2:4" ht="12.75">
      <c r="B10" s="11">
        <f>-'Dati di Base'!K30</f>
        <v>-0.1</v>
      </c>
      <c r="C10" s="22">
        <f>-B10/('Elaborazioni di costo'!E46+'Variazione dei prezzi'!B10)</f>
        <v>0.39423076923076944</v>
      </c>
      <c r="D10" s="8">
        <f>B10*'Dati di Base'!J30</f>
        <v>0.21000000000000002</v>
      </c>
    </row>
    <row r="11" spans="2:4" ht="12.75">
      <c r="B11" s="11">
        <f>-'Dati di Base'!K31</f>
        <v>-0.15</v>
      </c>
      <c r="C11" s="22">
        <f>-B11/('Elaborazioni di costo'!E46+'Variazione dei prezzi'!B11)</f>
        <v>0.7365269461077847</v>
      </c>
      <c r="D11" s="8">
        <f>B11*'Dati di Base'!J31</f>
        <v>0.375</v>
      </c>
    </row>
    <row r="12" spans="2:4" ht="12.75">
      <c r="B12" s="11">
        <f>-'Dati di Base'!K32</f>
        <v>-0.2</v>
      </c>
      <c r="C12" s="22">
        <f>-B12/('Elaborazioni di costo'!E46+'Variazione dei prezzi'!B12)</f>
        <v>1.3015873015873023</v>
      </c>
      <c r="D12" s="8">
        <f>B12*'Dati di Base'!J32</f>
        <v>0.6400000000000001</v>
      </c>
    </row>
    <row r="13" ht="12.75">
      <c r="B13" s="11"/>
    </row>
    <row r="14" ht="12.75">
      <c r="B14" s="9" t="s">
        <v>86</v>
      </c>
    </row>
    <row r="15" spans="2:4" ht="12.75">
      <c r="B15" t="s">
        <v>81</v>
      </c>
      <c r="C15" s="21" t="s">
        <v>119</v>
      </c>
      <c r="D15" t="s">
        <v>51</v>
      </c>
    </row>
    <row r="16" spans="2:12" ht="12.75">
      <c r="B16" s="11">
        <f>'Dati di Base'!K36</f>
        <v>0.05</v>
      </c>
      <c r="C16" s="22">
        <f>B16/('Elaborazioni di costo'!D46+'Variazione dei prezzi'!B16)</f>
        <v>0.13373722759743195</v>
      </c>
      <c r="D16" s="8">
        <f>B16*'Dati di Base'!J36</f>
        <v>-0.020000000000000004</v>
      </c>
      <c r="E16" s="21" t="s">
        <v>83</v>
      </c>
      <c r="F16" s="21"/>
      <c r="G16" s="21"/>
      <c r="H16" s="21"/>
      <c r="I16" s="21"/>
      <c r="J16" s="21"/>
      <c r="K16" s="21"/>
      <c r="L16" s="21"/>
    </row>
    <row r="17" spans="2:4" ht="12.75">
      <c r="B17" s="11">
        <f>'Dati di Base'!K37</f>
        <v>0.1</v>
      </c>
      <c r="C17" s="22">
        <f>B17/('Elaborazioni di costo'!D46+'Variazione dei prezzi'!B17)</f>
        <v>0.23592279470409955</v>
      </c>
      <c r="D17" s="8">
        <f>B17*'Dati di Base'!J37</f>
        <v>-0.05</v>
      </c>
    </row>
    <row r="18" spans="2:4" ht="12.75">
      <c r="B18" s="11">
        <f>'Dati di Base'!K38</f>
        <v>0.15</v>
      </c>
      <c r="C18" s="22">
        <f>B18/('Elaborazioni di costo'!D46+'Variazione dei prezzi'!B18)</f>
        <v>0.31654419633302416</v>
      </c>
      <c r="D18" s="8">
        <f>B18*'Dati di Base'!J38</f>
        <v>-0.09</v>
      </c>
    </row>
    <row r="19" spans="2:4" ht="12.75">
      <c r="B19" s="11">
        <f>'Dati di Base'!K39</f>
        <v>0.2</v>
      </c>
      <c r="C19" s="22">
        <f>B19/('Elaborazioni di costo'!D46+'Variazione dei prezzi'!B19)</f>
        <v>0.3817759421786267</v>
      </c>
      <c r="D19" s="8">
        <f>B19*'Dati di Base'!J39</f>
        <v>-0.15000000000000002</v>
      </c>
    </row>
    <row r="23" spans="1:11" ht="12.75">
      <c r="A23" s="34" t="s">
        <v>84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2.75">
      <c r="A24" s="34" t="s">
        <v>85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9" spans="2:3" ht="12.75">
      <c r="B29" s="29"/>
      <c r="C29" s="2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5"/>
  <sheetViews>
    <sheetView zoomScale="160" zoomScaleNormal="160" zoomScalePageLayoutView="0" workbookViewId="0" topLeftCell="A19">
      <selection activeCell="E33" sqref="E33"/>
    </sheetView>
  </sheetViews>
  <sheetFormatPr defaultColWidth="9.140625" defaultRowHeight="12.75"/>
  <cols>
    <col min="1" max="1" width="22.28125" style="0" customWidth="1"/>
    <col min="2" max="2" width="12.421875" style="0" customWidth="1"/>
    <col min="3" max="3" width="9.28125" style="0" bestFit="1" customWidth="1"/>
    <col min="5" max="5" width="12.8515625" style="0" customWidth="1"/>
    <col min="6" max="6" width="13.57421875" style="0" bestFit="1" customWidth="1"/>
    <col min="7" max="7" width="11.00390625" style="0" bestFit="1" customWidth="1"/>
    <col min="8" max="8" width="13.28125" style="0" bestFit="1" customWidth="1"/>
    <col min="10" max="10" width="12.8515625" style="0" bestFit="1" customWidth="1"/>
  </cols>
  <sheetData>
    <row r="2" spans="1:11" ht="12.75">
      <c r="A2" s="34" t="s">
        <v>87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2.75">
      <c r="A3" s="9"/>
    </row>
    <row r="4" spans="1:12" ht="12.75">
      <c r="A4" s="34" t="s">
        <v>131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>
      <c r="A5" s="34" t="s">
        <v>93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2.75">
      <c r="A6" s="34" t="s">
        <v>94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2.75">
      <c r="A7" s="34" t="s">
        <v>114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ht="12.75">
      <c r="A8" s="9"/>
    </row>
    <row r="9" spans="1:6" ht="12.75">
      <c r="A9" s="25" t="s">
        <v>91</v>
      </c>
      <c r="B9" s="25"/>
      <c r="C9" s="25"/>
      <c r="D9" s="25"/>
      <c r="E9" s="25"/>
      <c r="F9" s="26">
        <f>'Elaborazioni di costo'!F14</f>
        <v>12331.349999999991</v>
      </c>
    </row>
    <row r="11" spans="2:5" ht="12.75">
      <c r="B11" s="9" t="s">
        <v>89</v>
      </c>
      <c r="C11" s="9"/>
      <c r="D11" s="9"/>
      <c r="E11" s="9" t="s">
        <v>90</v>
      </c>
    </row>
    <row r="12" spans="1:5" ht="12.75">
      <c r="A12" s="40" t="s">
        <v>27</v>
      </c>
      <c r="B12" s="48">
        <v>0.2</v>
      </c>
      <c r="C12" s="40"/>
      <c r="D12" s="40"/>
      <c r="E12" s="48">
        <v>-0.05</v>
      </c>
    </row>
    <row r="14" spans="1:5" ht="12.75">
      <c r="A14" s="9" t="s">
        <v>53</v>
      </c>
      <c r="B14" s="49">
        <f>'Dati di Base'!E27*(1+'Analisi concorrenziale'!B12)</f>
        <v>1.2956040000000002</v>
      </c>
      <c r="C14" s="9"/>
      <c r="D14" s="9"/>
      <c r="E14" s="49">
        <f>'Dati di Base'!G27*(1+'Analisi concorrenziale'!E12)</f>
        <v>0.7789999999999999</v>
      </c>
    </row>
    <row r="15" spans="2:5" ht="12.75">
      <c r="B15" s="1"/>
      <c r="C15" s="1"/>
      <c r="D15" s="1"/>
      <c r="E15" s="1"/>
    </row>
    <row r="16" spans="1:5" ht="12.75">
      <c r="A16" t="s">
        <v>54</v>
      </c>
      <c r="B16" s="13">
        <f>'Dati di Base'!E20+'Dati di Base'!E21+'Dati di Base'!E22+'Dati di Base'!E23+('Dati di Base'!B24*B14)</f>
        <v>0.7619999618136001</v>
      </c>
      <c r="C16" s="1"/>
      <c r="D16" s="1"/>
      <c r="E16" s="1">
        <f>'Dati di Base'!G25</f>
        <v>0.53</v>
      </c>
    </row>
    <row r="18" spans="1:6" ht="12.75">
      <c r="A18" s="9" t="s">
        <v>55</v>
      </c>
      <c r="B18" s="45">
        <f>B14-B16</f>
        <v>0.5336040381864001</v>
      </c>
      <c r="C18" s="46">
        <f>B18/B14</f>
        <v>0.4118573562495948</v>
      </c>
      <c r="D18" s="9"/>
      <c r="E18" s="45">
        <f>E14-E16</f>
        <v>0.2489999999999999</v>
      </c>
      <c r="F18" s="46">
        <f>E18/E14</f>
        <v>0.3196405648267008</v>
      </c>
    </row>
    <row r="19" spans="2:5" ht="12.75">
      <c r="B19" s="4"/>
      <c r="E19" s="4"/>
    </row>
    <row r="20" spans="1:6" ht="12.75">
      <c r="A20" s="9" t="s">
        <v>88</v>
      </c>
      <c r="B20" s="46">
        <f>'Dati di Base'!F6/'Dati di Base'!E6</f>
        <v>0.35</v>
      </c>
      <c r="C20" s="9"/>
      <c r="D20" s="9"/>
      <c r="E20" s="46">
        <f>'Dati di Base'!G6/'Dati di Base'!E6</f>
        <v>0.65</v>
      </c>
      <c r="F20" s="45"/>
    </row>
    <row r="21" spans="2:6" ht="12.75">
      <c r="B21" s="4"/>
      <c r="E21" s="4"/>
      <c r="F21" s="4"/>
    </row>
    <row r="22" spans="1:8" ht="12.75">
      <c r="A22" s="25" t="s">
        <v>95</v>
      </c>
      <c r="B22" s="25"/>
      <c r="C22" s="25"/>
      <c r="D22" s="25"/>
      <c r="E22" s="25"/>
      <c r="F22" s="25"/>
      <c r="G22" s="25"/>
      <c r="H22" s="25"/>
    </row>
    <row r="23" spans="1:5" ht="12.75">
      <c r="A23" t="s">
        <v>56</v>
      </c>
      <c r="B23" s="14">
        <f>'Variazione dei prezzi'!D19</f>
        <v>-0.15000000000000002</v>
      </c>
      <c r="E23" s="14">
        <f>'Variazione dei prezzi'!D9</f>
        <v>0.09000000000000001</v>
      </c>
    </row>
    <row r="24" spans="1:5" ht="12.75">
      <c r="A24" t="s">
        <v>92</v>
      </c>
      <c r="B24" s="3">
        <f>'Dati di Base'!F6*(1+'Analisi concorrenziale'!B23)</f>
        <v>89250</v>
      </c>
      <c r="E24" s="3">
        <f>'Dati di Base'!G6*(1+'Analisi concorrenziale'!E23)</f>
        <v>212550.00000000003</v>
      </c>
    </row>
    <row r="26" spans="1:6" s="9" customFormat="1" ht="12.75">
      <c r="A26" s="9" t="s">
        <v>57</v>
      </c>
      <c r="B26" s="47">
        <f>B18*B24</f>
        <v>47624.16040813621</v>
      </c>
      <c r="E26" s="47">
        <f>E18*E24</f>
        <v>52924.94999999998</v>
      </c>
      <c r="F26" s="45">
        <f>SUM(B26:E26)</f>
        <v>100549.11040813618</v>
      </c>
    </row>
    <row r="27" spans="1:8" ht="12.75">
      <c r="A27" t="s">
        <v>58</v>
      </c>
      <c r="F27" s="4">
        <f>'Dati di Base'!E16</f>
        <v>80934</v>
      </c>
      <c r="G27" t="s">
        <v>60</v>
      </c>
      <c r="H27" t="s">
        <v>61</v>
      </c>
    </row>
    <row r="28" spans="1:10" ht="12.75">
      <c r="A28" s="25" t="s">
        <v>59</v>
      </c>
      <c r="B28" s="25"/>
      <c r="C28" s="25"/>
      <c r="D28" s="25"/>
      <c r="E28" s="25"/>
      <c r="F28" s="26">
        <f>F26-F27</f>
        <v>19615.110408136185</v>
      </c>
      <c r="G28" s="27">
        <f>(F28-F9)/F9</f>
        <v>0.590670154373706</v>
      </c>
      <c r="H28" s="28">
        <f>(($B$14*B24+$E$14*E24)/'Dati di Base'!$L$25)-'Dati di Base'!$L$4</f>
        <v>0.005767253283383761</v>
      </c>
      <c r="J28" s="4"/>
    </row>
    <row r="31" spans="1:8" ht="12.75">
      <c r="A31" s="25" t="s">
        <v>98</v>
      </c>
      <c r="B31" s="18"/>
      <c r="C31" s="25"/>
      <c r="D31" s="25"/>
      <c r="E31" s="25"/>
      <c r="F31" s="25"/>
      <c r="G31" s="25"/>
      <c r="H31" s="25"/>
    </row>
    <row r="32" spans="1:5" ht="12.75">
      <c r="A32" t="s">
        <v>56</v>
      </c>
      <c r="B32" s="14">
        <v>0</v>
      </c>
      <c r="E32" s="14">
        <v>0</v>
      </c>
    </row>
    <row r="33" spans="1:5" ht="12.75">
      <c r="A33" t="s">
        <v>92</v>
      </c>
      <c r="B33" s="3">
        <f>'Dati di Base'!F6*(1+'Analisi concorrenziale'!B32)</f>
        <v>105000</v>
      </c>
      <c r="E33" s="3">
        <f>'Dati di Base'!G6*(1+'Analisi concorrenziale'!E32)</f>
        <v>195000</v>
      </c>
    </row>
    <row r="35" spans="1:6" s="9" customFormat="1" ht="12.75">
      <c r="A35" s="9" t="s">
        <v>57</v>
      </c>
      <c r="B35" s="47">
        <f>B18*B33</f>
        <v>56028.424009572016</v>
      </c>
      <c r="E35" s="47">
        <f>E18*E33</f>
        <v>48554.99999999998</v>
      </c>
      <c r="F35" s="45">
        <f>SUM(B35:E35)</f>
        <v>104583.42400957199</v>
      </c>
    </row>
    <row r="36" spans="1:8" ht="12.75">
      <c r="A36" t="s">
        <v>58</v>
      </c>
      <c r="F36" s="4">
        <f>F27</f>
        <v>80934</v>
      </c>
      <c r="G36" t="s">
        <v>60</v>
      </c>
      <c r="H36" t="s">
        <v>61</v>
      </c>
    </row>
    <row r="37" spans="1:8" ht="12.75">
      <c r="A37" s="25" t="s">
        <v>59</v>
      </c>
      <c r="B37" s="25"/>
      <c r="C37" s="25"/>
      <c r="D37" s="25"/>
      <c r="E37" s="25"/>
      <c r="F37" s="26">
        <f>F35-F36</f>
        <v>23649.424009571987</v>
      </c>
      <c r="G37" s="27">
        <f>(F37-F9)/F9</f>
        <v>0.9178292733214128</v>
      </c>
      <c r="H37" s="28">
        <f>(($B$14*B33+$E$14*E33)/'Dati di Base'!$L$25)-'Dati di Base'!$L$4</f>
        <v>0.010656437174656364</v>
      </c>
    </row>
    <row r="40" spans="1:8" ht="12.75">
      <c r="A40" s="25" t="s">
        <v>100</v>
      </c>
      <c r="B40" s="18"/>
      <c r="C40" s="25"/>
      <c r="D40" s="25"/>
      <c r="E40" s="25"/>
      <c r="F40" s="25"/>
      <c r="G40" s="25"/>
      <c r="H40" s="25"/>
    </row>
    <row r="41" spans="1:5" ht="12.75">
      <c r="A41" t="s">
        <v>56</v>
      </c>
      <c r="B41" s="14">
        <v>0</v>
      </c>
      <c r="E41" s="14">
        <v>0.09</v>
      </c>
    </row>
    <row r="42" spans="1:5" ht="12.75">
      <c r="A42" t="s">
        <v>92</v>
      </c>
      <c r="B42" s="3">
        <f>'Dati di Base'!F6*(1+'Analisi concorrenziale'!B41)</f>
        <v>105000</v>
      </c>
      <c r="E42" s="3">
        <f>'Dati di Base'!G6*(1+'Analisi concorrenziale'!E41)</f>
        <v>212550.00000000003</v>
      </c>
    </row>
    <row r="44" spans="1:6" s="9" customFormat="1" ht="12.75">
      <c r="A44" s="9" t="s">
        <v>57</v>
      </c>
      <c r="B44" s="47">
        <f>B18*B42</f>
        <v>56028.424009572016</v>
      </c>
      <c r="E44" s="47">
        <f>E18*E42</f>
        <v>52924.94999999998</v>
      </c>
      <c r="F44" s="45">
        <f>SUM(B44:E44)</f>
        <v>108953.374009572</v>
      </c>
    </row>
    <row r="45" spans="1:8" ht="12.75">
      <c r="A45" t="s">
        <v>58</v>
      </c>
      <c r="F45" s="4">
        <f>F36</f>
        <v>80934</v>
      </c>
      <c r="G45" t="s">
        <v>60</v>
      </c>
      <c r="H45" t="s">
        <v>61</v>
      </c>
    </row>
    <row r="46" spans="1:8" ht="12.75">
      <c r="A46" s="25" t="s">
        <v>59</v>
      </c>
      <c r="B46" s="25"/>
      <c r="C46" s="25"/>
      <c r="D46" s="25"/>
      <c r="E46" s="25"/>
      <c r="F46" s="26">
        <f>F44-F45</f>
        <v>28019.374009572</v>
      </c>
      <c r="G46" s="27">
        <f>(F46-F9)/F9</f>
        <v>1.2722065312858704</v>
      </c>
      <c r="H46" s="28">
        <f>(($B$14*B42+$E$14*E42)/'Dati di Base'!$L$25)-'Dati di Base'!$L$4</f>
        <v>0.020582057369372464</v>
      </c>
    </row>
    <row r="49" spans="1:9" ht="12.75">
      <c r="A49" s="25" t="s">
        <v>102</v>
      </c>
      <c r="B49" s="18"/>
      <c r="C49" s="18"/>
      <c r="D49" s="25"/>
      <c r="E49" s="25"/>
      <c r="F49" s="25"/>
      <c r="G49" s="25"/>
      <c r="H49" s="25"/>
      <c r="I49" s="36"/>
    </row>
    <row r="50" spans="1:5" ht="12.75">
      <c r="A50" t="s">
        <v>56</v>
      </c>
      <c r="B50" s="14">
        <v>-0.15</v>
      </c>
      <c r="E50" s="14">
        <v>0</v>
      </c>
    </row>
    <row r="51" spans="1:5" ht="12.75">
      <c r="A51" t="s">
        <v>92</v>
      </c>
      <c r="B51" s="3">
        <f>'Dati di Base'!F6*(1+'Analisi concorrenziale'!B50)</f>
        <v>89250</v>
      </c>
      <c r="E51" s="3">
        <f>'Dati di Base'!G6*(1+'Analisi concorrenziale'!E50)</f>
        <v>195000</v>
      </c>
    </row>
    <row r="53" spans="1:6" s="9" customFormat="1" ht="12.75">
      <c r="A53" s="9" t="s">
        <v>57</v>
      </c>
      <c r="B53" s="47">
        <f>B18*B51</f>
        <v>47624.16040813621</v>
      </c>
      <c r="E53" s="47">
        <f>E18*E51</f>
        <v>48554.99999999998</v>
      </c>
      <c r="F53" s="45">
        <f>SUM(B53:E53)</f>
        <v>96179.16040813619</v>
      </c>
    </row>
    <row r="54" spans="1:8" ht="12.75">
      <c r="A54" t="s">
        <v>58</v>
      </c>
      <c r="F54" s="4">
        <f>F45</f>
        <v>80934</v>
      </c>
      <c r="G54" t="s">
        <v>60</v>
      </c>
      <c r="H54" t="s">
        <v>61</v>
      </c>
    </row>
    <row r="55" spans="1:8" ht="12.75">
      <c r="A55" s="25" t="s">
        <v>59</v>
      </c>
      <c r="B55" s="25"/>
      <c r="C55" s="25"/>
      <c r="D55" s="25"/>
      <c r="E55" s="25"/>
      <c r="F55" s="26">
        <f>F53-F54</f>
        <v>15245.160408136187</v>
      </c>
      <c r="G55" s="27">
        <f>(F55-F9)/F9</f>
        <v>0.23629289640924944</v>
      </c>
      <c r="H55" s="28">
        <f>(($B$14*B51+$E$14*E51)/'Dati di Base'!$L$25)-'Dati di Base'!$L$4</f>
        <v>-0.00415836691133234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0"/>
  <sheetViews>
    <sheetView zoomScale="86" zoomScaleNormal="86" zoomScalePageLayoutView="0" workbookViewId="0" topLeftCell="A1">
      <selection activeCell="C4" sqref="C4"/>
    </sheetView>
  </sheetViews>
  <sheetFormatPr defaultColWidth="9.140625" defaultRowHeight="12.75"/>
  <cols>
    <col min="2" max="2" width="24.57421875" style="0" customWidth="1"/>
    <col min="3" max="3" width="15.28125" style="0" customWidth="1"/>
    <col min="4" max="4" width="17.8515625" style="0" customWidth="1"/>
    <col min="5" max="5" width="23.7109375" style="0" customWidth="1"/>
    <col min="6" max="6" width="28.8515625" style="0" customWidth="1"/>
    <col min="7" max="7" width="17.140625" style="0" customWidth="1"/>
  </cols>
  <sheetData>
    <row r="1" spans="1:25" s="30" customFormat="1" ht="19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30" customFormat="1" ht="53.25" customHeight="1">
      <c r="A2" s="17"/>
      <c r="B2" s="17"/>
      <c r="C2" s="31" t="s">
        <v>96</v>
      </c>
      <c r="D2" s="31" t="s">
        <v>99</v>
      </c>
      <c r="E2" s="31" t="s">
        <v>101</v>
      </c>
      <c r="F2" s="31" t="s">
        <v>107</v>
      </c>
      <c r="G2" s="31" t="s">
        <v>105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s="30" customFormat="1" ht="19.5" customHeight="1">
      <c r="A3" s="17"/>
      <c r="B3" s="17" t="s">
        <v>97</v>
      </c>
      <c r="C3" s="32">
        <v>0</v>
      </c>
      <c r="D3" s="32">
        <v>0</v>
      </c>
      <c r="E3" s="32">
        <v>0</v>
      </c>
      <c r="F3" s="32">
        <v>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s="30" customFormat="1" ht="19.5" customHeight="1">
      <c r="A4" s="17"/>
      <c r="B4" s="17" t="s">
        <v>103</v>
      </c>
      <c r="C4" s="33">
        <f>'Analisi concorrenziale'!F28</f>
        <v>19615.110408136185</v>
      </c>
      <c r="D4" s="33">
        <f>'Analisi concorrenziale'!F37</f>
        <v>23649.424009571987</v>
      </c>
      <c r="E4" s="33">
        <f>'Analisi concorrenziale'!F46</f>
        <v>28019.374009572</v>
      </c>
      <c r="F4" s="33">
        <f>'Analisi concorrenziale'!F55</f>
        <v>15245.160408136187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30" customFormat="1" ht="19.5" customHeight="1">
      <c r="A5" s="17"/>
      <c r="B5" s="17" t="s">
        <v>104</v>
      </c>
      <c r="C5" s="33">
        <f>C4*C3</f>
        <v>0</v>
      </c>
      <c r="D5" s="33">
        <f>D4*D3</f>
        <v>0</v>
      </c>
      <c r="E5" s="33">
        <f>E4*E3</f>
        <v>0</v>
      </c>
      <c r="F5" s="33">
        <f>F4*F3</f>
        <v>15245.160408136187</v>
      </c>
      <c r="G5" s="50">
        <f>SUM(C5:F5)</f>
        <v>15245.160408136187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30" customFormat="1" ht="19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="17" customFormat="1" ht="19.5" customHeight="1"/>
    <row r="8" s="17" customFormat="1" ht="19.5" customHeight="1">
      <c r="A8" s="51" t="s">
        <v>68</v>
      </c>
    </row>
    <row r="9" s="17" customFormat="1" ht="19.5" customHeight="1"/>
    <row r="10" s="17" customFormat="1" ht="19.5" customHeight="1">
      <c r="A10" s="52" t="s">
        <v>70</v>
      </c>
    </row>
    <row r="11" s="17" customFormat="1" ht="19.5" customHeight="1">
      <c r="A11" s="51" t="s">
        <v>106</v>
      </c>
    </row>
    <row r="12" s="17" customFormat="1" ht="19.5" customHeight="1"/>
    <row r="13" s="17" customFormat="1" ht="19.5" customHeight="1">
      <c r="A13" s="51" t="s">
        <v>69</v>
      </c>
    </row>
    <row r="14" s="17" customFormat="1" ht="19.5" customHeight="1"/>
    <row r="15" s="17" customFormat="1" ht="19.5" customHeight="1"/>
    <row r="16" s="17" customFormat="1" ht="19.5" customHeight="1"/>
    <row r="17" s="17" customFormat="1" ht="19.5" customHeight="1"/>
    <row r="18" s="17" customFormat="1" ht="19.5" customHeight="1"/>
    <row r="19" s="17" customFormat="1" ht="19.5" customHeight="1"/>
    <row r="20" s="17" customFormat="1" ht="19.5" customHeight="1"/>
    <row r="21" s="16" customFormat="1" ht="19.5" customHeight="1"/>
    <row r="22" s="16" customFormat="1" ht="19.5" customHeight="1"/>
    <row r="23" s="16" customFormat="1" ht="19.5" customHeight="1"/>
    <row r="24" s="16" customFormat="1" ht="19.5" customHeight="1"/>
    <row r="25" s="16" customFormat="1" ht="19.5" customHeight="1"/>
    <row r="26" s="16" customFormat="1" ht="19.5" customHeight="1"/>
    <row r="27" s="16" customFormat="1" ht="19.5" customHeight="1"/>
    <row r="28" s="16" customFormat="1" ht="19.5" customHeight="1"/>
    <row r="29" spans="1:25" ht="19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9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9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9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9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9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9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9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9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9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9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9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9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9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9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9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9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9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9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9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9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9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9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9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9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9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9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9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9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9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9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9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9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9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9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9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9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9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9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9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9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9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9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9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9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9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9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9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9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9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9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9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2" max="2" width="27.140625" style="0" customWidth="1"/>
    <col min="3" max="3" width="12.8515625" style="0" bestFit="1" customWidth="1"/>
    <col min="4" max="4" width="10.8515625" style="0" bestFit="1" customWidth="1"/>
    <col min="5" max="5" width="24.140625" style="0" bestFit="1" customWidth="1"/>
  </cols>
  <sheetData>
    <row r="1" spans="1:3" ht="12.75">
      <c r="A1" s="37" t="s">
        <v>142</v>
      </c>
      <c r="C1" s="73">
        <v>12000</v>
      </c>
    </row>
    <row r="3" spans="3:7" ht="12.75">
      <c r="C3" s="76" t="s">
        <v>135</v>
      </c>
      <c r="D3" s="76" t="s">
        <v>136</v>
      </c>
      <c r="F3" s="76" t="s">
        <v>135</v>
      </c>
      <c r="G3" s="76" t="s">
        <v>136</v>
      </c>
    </row>
    <row r="5" spans="2:4" ht="12.75">
      <c r="B5" s="37" t="s">
        <v>53</v>
      </c>
      <c r="C5" s="73">
        <v>10</v>
      </c>
      <c r="D5" s="73">
        <v>8</v>
      </c>
    </row>
    <row r="6" spans="2:4" ht="12.75">
      <c r="B6" s="37" t="s">
        <v>137</v>
      </c>
      <c r="C6" s="73">
        <v>8</v>
      </c>
      <c r="D6" s="73">
        <v>4</v>
      </c>
    </row>
    <row r="7" spans="2:7" ht="12.75">
      <c r="B7" s="37" t="s">
        <v>55</v>
      </c>
      <c r="C7" s="73">
        <f>C5-C6</f>
        <v>2</v>
      </c>
      <c r="D7" s="73">
        <f>D5-D6</f>
        <v>4</v>
      </c>
      <c r="E7" s="37" t="s">
        <v>143</v>
      </c>
      <c r="F7">
        <f>C5/C6</f>
        <v>1.25</v>
      </c>
      <c r="G7" s="74">
        <f>D5/D6</f>
        <v>2</v>
      </c>
    </row>
    <row r="8" spans="2:4" ht="12.75">
      <c r="B8" s="37" t="s">
        <v>139</v>
      </c>
      <c r="C8" s="8">
        <f>C7/C5</f>
        <v>0.2</v>
      </c>
      <c r="D8" s="8">
        <f>D7/D5</f>
        <v>0.5</v>
      </c>
    </row>
    <row r="10" spans="2:4" ht="12.75">
      <c r="B10" s="37" t="s">
        <v>140</v>
      </c>
      <c r="C10" s="2">
        <v>600</v>
      </c>
      <c r="D10" s="2">
        <v>1400</v>
      </c>
    </row>
    <row r="11" spans="2:4" ht="12.75">
      <c r="B11" s="37" t="s">
        <v>141</v>
      </c>
      <c r="C11">
        <v>10</v>
      </c>
      <c r="D11">
        <v>2</v>
      </c>
    </row>
    <row r="13" spans="5:7" ht="12.75">
      <c r="E13" s="37" t="s">
        <v>144</v>
      </c>
      <c r="F13" s="14">
        <v>0.02</v>
      </c>
      <c r="G13" s="14">
        <v>0.1</v>
      </c>
    </row>
    <row r="14" spans="5:7" ht="12.75">
      <c r="E14" s="37" t="s">
        <v>138</v>
      </c>
      <c r="F14" s="75">
        <f>1/(1-F13)</f>
        <v>1.0204081632653061</v>
      </c>
      <c r="G14" s="75">
        <f>1/(1-G13)</f>
        <v>1.1111111111111112</v>
      </c>
    </row>
    <row r="16" spans="1:4" ht="12.75">
      <c r="A16" s="37" t="s">
        <v>148</v>
      </c>
      <c r="C16" s="73">
        <f>C1/(C10+D10)</f>
        <v>6</v>
      </c>
      <c r="D16" s="73">
        <f>C1/(C10+D10)</f>
        <v>6</v>
      </c>
    </row>
    <row r="17" spans="1:4" ht="12.75">
      <c r="A17" s="37" t="s">
        <v>147</v>
      </c>
      <c r="C17" s="73">
        <f>(C1/(C11+D11))*C11/C10</f>
        <v>16.666666666666668</v>
      </c>
      <c r="D17" s="73">
        <f>(C1/(C11+D11))*D11/D10</f>
        <v>1.4285714285714286</v>
      </c>
    </row>
    <row r="18" spans="1:4" ht="12.75">
      <c r="A18" s="37"/>
      <c r="C18" s="73"/>
      <c r="D18" s="73"/>
    </row>
    <row r="20" spans="1:5" ht="12.75">
      <c r="A20" s="37" t="s">
        <v>145</v>
      </c>
      <c r="C20" s="73">
        <f>C16*C10</f>
        <v>3600</v>
      </c>
      <c r="D20" s="73">
        <f>D16*D10</f>
        <v>8400</v>
      </c>
      <c r="E20" s="73"/>
    </row>
    <row r="21" spans="1:5" ht="12.75">
      <c r="A21" s="37" t="s">
        <v>146</v>
      </c>
      <c r="C21" s="73">
        <f>C17*C11</f>
        <v>166.66666666666669</v>
      </c>
      <c r="D21" s="73">
        <f>D17*D11</f>
        <v>2.857142857142857</v>
      </c>
      <c r="E21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O.T.M.S.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Toscano</dc:creator>
  <cp:keywords/>
  <dc:description/>
  <cp:lastModifiedBy>Giuseppe Toscano</cp:lastModifiedBy>
  <dcterms:created xsi:type="dcterms:W3CDTF">2005-10-18T15:58:03Z</dcterms:created>
  <dcterms:modified xsi:type="dcterms:W3CDTF">2012-11-21T08:16:55Z</dcterms:modified>
  <cp:category/>
  <cp:version/>
  <cp:contentType/>
  <cp:contentStatus/>
</cp:coreProperties>
</file>