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CE" sheetId="1" r:id="rId1"/>
    <sheet name="CF" sheetId="2" r:id="rId2"/>
    <sheet name="Valutazione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<sst xmlns="http://schemas.openxmlformats.org/spreadsheetml/2006/main" count="73" uniqueCount="71">
  <si>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Società Rendezvous</t>
  </si>
  <si>
    <t>Valori in migliaia di Euro</t>
  </si>
  <si>
    <t>CE</t>
  </si>
  <si>
    <t>Fatturato</t>
  </si>
  <si>
    <t>Costi materie prime</t>
  </si>
  <si>
    <t>Salari e stipendi</t>
  </si>
  <si>
    <t>Accantonamento TFR</t>
  </si>
  <si>
    <t>Costi del personale</t>
  </si>
  <si>
    <t>Costi dell'esercizio</t>
  </si>
  <si>
    <t>EBITDA</t>
  </si>
  <si>
    <t>Ammortamenti imm. tecniche</t>
  </si>
  <si>
    <t>Ammortamenti imm. immateriali</t>
  </si>
  <si>
    <t>EBIT</t>
  </si>
  <si>
    <t>Oneri finanziari</t>
  </si>
  <si>
    <t>Proventi finanziari</t>
  </si>
  <si>
    <t>EBT</t>
  </si>
  <si>
    <t>Imposte</t>
  </si>
  <si>
    <t>Risultato d'esercizio</t>
  </si>
  <si>
    <t>Stato Patrimoniale</t>
  </si>
  <si>
    <t>Attività</t>
  </si>
  <si>
    <t>Cassa e banche</t>
  </si>
  <si>
    <t>Cred commerciali</t>
  </si>
  <si>
    <t>Rimanenze</t>
  </si>
  <si>
    <t>Passività</t>
  </si>
  <si>
    <t>Banche passive</t>
  </si>
  <si>
    <t>Deb commerciali</t>
  </si>
  <si>
    <t>Ratei e risconti passivi</t>
  </si>
  <si>
    <t>CCN</t>
  </si>
  <si>
    <t>Var. CCN</t>
  </si>
  <si>
    <t>Rendiconto finanziario</t>
  </si>
  <si>
    <t>EBIT (Reddito Operativo)</t>
  </si>
  <si>
    <t>(+) ammortamenti</t>
  </si>
  <si>
    <t>(+) accantonamento TFR</t>
  </si>
  <si>
    <t>(-) imposte di competenza</t>
  </si>
  <si>
    <t>(+/-) Variazione CCN</t>
  </si>
  <si>
    <t>Cash flow from operation (Flusso monetario della gestione corrente)</t>
  </si>
  <si>
    <t>Capex</t>
  </si>
  <si>
    <t>Operating cash flow (Flusso Monetario della gestione operativa)</t>
  </si>
  <si>
    <t>(+) saldo ges. Finanziaria</t>
  </si>
  <si>
    <t>(+) saldo ges. Patrimoniale</t>
  </si>
  <si>
    <t>(+) saldo ges. Straordinaria</t>
  </si>
  <si>
    <t>Net Cash Flow (Saldo monetario di Cassa)</t>
  </si>
  <si>
    <t>Dati in migliaia di Euro</t>
  </si>
  <si>
    <t xml:space="preserve">EBIT </t>
  </si>
  <si>
    <t>(Imposte)</t>
  </si>
  <si>
    <t>Ammortamenti</t>
  </si>
  <si>
    <t>Var. Fondi</t>
  </si>
  <si>
    <t>Flusso monetario gestione corrente</t>
  </si>
  <si>
    <t>Free Cash Flow to Firm</t>
  </si>
  <si>
    <t xml:space="preserve">Costo del debito </t>
  </si>
  <si>
    <t>Imposte figurative</t>
  </si>
  <si>
    <t>PFN</t>
  </si>
  <si>
    <t>Debito</t>
  </si>
  <si>
    <t>Equity</t>
  </si>
  <si>
    <t>Calcolare</t>
  </si>
  <si>
    <t>Costo mezzi propri</t>
  </si>
  <si>
    <t>Costo del debito al netto d'imposta</t>
  </si>
  <si>
    <t>WACC</t>
  </si>
  <si>
    <t>VAN flussi</t>
  </si>
  <si>
    <t>Fattore di crescita g</t>
  </si>
  <si>
    <t>Valore Residuo</t>
  </si>
  <si>
    <t>Attualizzazione VR</t>
  </si>
  <si>
    <t xml:space="preserve">PFN </t>
  </si>
  <si>
    <t>UDCF</t>
  </si>
  <si>
    <t>Valutazione a multipli di mercato</t>
  </si>
  <si>
    <t>Utilizzo TFR</t>
  </si>
  <si>
    <t>normalizzato</t>
  </si>
  <si>
    <t>Ebitda finale</t>
  </si>
  <si>
    <t>Ebitda iniziale</t>
  </si>
  <si>
    <t>Media proiezioni</t>
  </si>
  <si>
    <t>EV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</si>
</sst>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%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&quot;€&quot;\ #,##0.0;[Red]\-&quot;€&quot;\ #,##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34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3" fontId="0" fillId="0" borderId="18" xfId="45" applyNumberFormat="1" applyFont="1" applyBorder="1" applyAlignment="1">
      <alignment/>
    </xf>
    <xf numFmtId="3" fontId="0" fillId="0" borderId="19" xfId="45" applyNumberFormat="1" applyFont="1" applyBorder="1" applyAlignment="1">
      <alignment/>
    </xf>
    <xf numFmtId="3" fontId="0" fillId="0" borderId="20" xfId="45" applyNumberFormat="1" applyFont="1" applyBorder="1" applyAlignment="1">
      <alignment/>
    </xf>
    <xf numFmtId="3" fontId="0" fillId="0" borderId="21" xfId="45" applyNumberFormat="1" applyFont="1" applyBorder="1" applyAlignment="1">
      <alignment/>
    </xf>
    <xf numFmtId="3" fontId="0" fillId="0" borderId="0" xfId="45" applyNumberFormat="1" applyFont="1" applyBorder="1" applyAlignment="1">
      <alignment/>
    </xf>
    <xf numFmtId="3" fontId="0" fillId="0" borderId="22" xfId="45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45" applyNumberFormat="1" applyFont="1" applyFill="1" applyBorder="1" applyAlignment="1">
      <alignment/>
    </xf>
    <xf numFmtId="3" fontId="0" fillId="33" borderId="32" xfId="45" applyNumberFormat="1" applyFont="1" applyFill="1" applyBorder="1" applyAlignment="1">
      <alignment/>
    </xf>
    <xf numFmtId="3" fontId="0" fillId="33" borderId="33" xfId="45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45" applyNumberFormat="1" applyFont="1" applyFill="1" applyBorder="1" applyAlignment="1">
      <alignment/>
    </xf>
    <xf numFmtId="3" fontId="5" fillId="33" borderId="32" xfId="45" applyNumberFormat="1" applyFont="1" applyFill="1" applyBorder="1" applyAlignment="1">
      <alignment/>
    </xf>
    <xf numFmtId="3" fontId="5" fillId="33" borderId="33" xfId="45" applyNumberFormat="1" applyFont="1" applyFill="1" applyBorder="1" applyAlignment="1">
      <alignment/>
    </xf>
    <xf numFmtId="174" fontId="0" fillId="0" borderId="11" xfId="45" applyNumberFormat="1" applyFont="1" applyBorder="1" applyAlignment="1">
      <alignment/>
    </xf>
    <xf numFmtId="174" fontId="0" fillId="0" borderId="12" xfId="45" applyNumberFormat="1" applyFont="1" applyBorder="1" applyAlignment="1">
      <alignment/>
    </xf>
    <xf numFmtId="174" fontId="0" fillId="0" borderId="16" xfId="45" applyNumberFormat="1" applyFont="1" applyBorder="1" applyAlignment="1">
      <alignment/>
    </xf>
    <xf numFmtId="174" fontId="0" fillId="0" borderId="13" xfId="45" applyNumberFormat="1" applyFont="1" applyBorder="1" applyAlignment="1">
      <alignment/>
    </xf>
    <xf numFmtId="174" fontId="0" fillId="0" borderId="0" xfId="0" applyNumberFormat="1" applyAlignment="1">
      <alignment/>
    </xf>
    <xf numFmtId="171" fontId="0" fillId="0" borderId="11" xfId="50" applyNumberFormat="1" applyFont="1" applyBorder="1" applyAlignment="1">
      <alignment/>
    </xf>
    <xf numFmtId="171" fontId="2" fillId="0" borderId="11" xfId="5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2" fillId="0" borderId="10" xfId="0" applyFont="1" applyBorder="1" applyAlignment="1">
      <alignment/>
    </xf>
    <xf numFmtId="43" fontId="6" fillId="34" borderId="33" xfId="0" applyNumberFormat="1" applyFont="1" applyFill="1" applyBorder="1" applyAlignment="1">
      <alignment/>
    </xf>
    <xf numFmtId="10" fontId="0" fillId="0" borderId="11" xfId="50" applyNumberFormat="1" applyFont="1" applyBorder="1" applyAlignment="1">
      <alignment/>
    </xf>
    <xf numFmtId="8" fontId="5" fillId="33" borderId="33" xfId="45" applyNumberFormat="1" applyFont="1" applyFill="1" applyBorder="1" applyAlignment="1">
      <alignment/>
    </xf>
    <xf numFmtId="174" fontId="2" fillId="0" borderId="17" xfId="45" applyNumberFormat="1" applyFont="1" applyBorder="1" applyAlignment="1">
      <alignment/>
    </xf>
    <xf numFmtId="6" fontId="2" fillId="0" borderId="33" xfId="0" applyNumberFormat="1" applyFont="1" applyBorder="1" applyAlignment="1">
      <alignment/>
    </xf>
    <xf numFmtId="9" fontId="0" fillId="0" borderId="0" xfId="50" applyFont="1" applyAlignment="1">
      <alignment/>
    </xf>
    <xf numFmtId="3" fontId="0" fillId="0" borderId="1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43" fontId="0" fillId="0" borderId="38" xfId="45" applyNumberFormat="1" applyFont="1" applyBorder="1" applyAlignment="1">
      <alignment/>
    </xf>
    <xf numFmtId="43" fontId="0" fillId="0" borderId="39" xfId="45" applyNumberFormat="1" applyFont="1" applyBorder="1" applyAlignment="1">
      <alignment/>
    </xf>
    <xf numFmtId="43" fontId="0" fillId="0" borderId="33" xfId="45" applyNumberFormat="1" applyFont="1" applyBorder="1" applyAlignment="1">
      <alignment/>
    </xf>
    <xf numFmtId="43" fontId="0" fillId="0" borderId="40" xfId="45" applyNumberFormat="1" applyFont="1" applyBorder="1" applyAlignment="1">
      <alignment/>
    </xf>
    <xf numFmtId="43" fontId="0" fillId="0" borderId="0" xfId="45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8" fontId="2" fillId="0" borderId="17" xfId="0" applyNumberFormat="1" applyFont="1" applyBorder="1" applyAlignment="1">
      <alignment/>
    </xf>
    <xf numFmtId="0" fontId="6" fillId="34" borderId="18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zoomScalePageLayoutView="0" workbookViewId="0" topLeftCell="A1">
      <selection activeCell="H11" sqref="H11"/>
    </sheetView>
  </sheetViews>
  <sheetFormatPr defaultColWidth="9.140625" defaultRowHeight="12.75"/>
  <cols>
    <col min="2" max="2" width="29.140625" style="0" customWidth="1"/>
  </cols>
  <sheetData>
    <row r="2" ht="12.75">
      <c r="B2" s="1" t="s">
        <v>0</v>
      </c>
    </row>
    <row r="3" ht="12.75">
      <c r="B3" t="s">
        <v>1</v>
      </c>
    </row>
    <row r="4" spans="2:8" s="1" customFormat="1" ht="12.75">
      <c r="B4" s="4" t="s">
        <v>2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</row>
    <row r="5" spans="2:8" ht="12.75">
      <c r="B5" s="5" t="s">
        <v>3</v>
      </c>
      <c r="C5" s="6">
        <v>30000</v>
      </c>
      <c r="D5" s="6">
        <f>C5*1.15</f>
        <v>34500</v>
      </c>
      <c r="E5" s="6">
        <f>D5*1.15</f>
        <v>39675</v>
      </c>
      <c r="F5" s="6">
        <f>E5*1.15</f>
        <v>45626.25</v>
      </c>
      <c r="G5" s="6">
        <f>F5*1.02</f>
        <v>46538.775</v>
      </c>
      <c r="H5" s="6">
        <f>+G5*1.02</f>
        <v>47469.550500000005</v>
      </c>
    </row>
    <row r="6" spans="2:8" ht="12.75">
      <c r="B6" s="17" t="s">
        <v>4</v>
      </c>
      <c r="C6" s="18">
        <v>8000</v>
      </c>
      <c r="D6" s="18">
        <f>C6*1.1</f>
        <v>8800</v>
      </c>
      <c r="E6" s="18">
        <f>D6*1.1</f>
        <v>9680</v>
      </c>
      <c r="F6" s="18">
        <f>E6*1.1</f>
        <v>10648</v>
      </c>
      <c r="G6" s="18">
        <f>F6</f>
        <v>10648</v>
      </c>
      <c r="H6" s="18">
        <f>G6</f>
        <v>10648</v>
      </c>
    </row>
    <row r="7" spans="2:8" ht="12.75">
      <c r="B7" s="5" t="s">
        <v>5</v>
      </c>
      <c r="C7" s="6">
        <v>10000</v>
      </c>
      <c r="D7" s="6">
        <f>C7*1.05</f>
        <v>10500</v>
      </c>
      <c r="E7" s="6">
        <f>D7*1.05</f>
        <v>11025</v>
      </c>
      <c r="F7" s="6">
        <f>E7*1.05</f>
        <v>11576.25</v>
      </c>
      <c r="G7" s="6">
        <f>F7*1.05</f>
        <v>12155.0625</v>
      </c>
      <c r="H7" s="6">
        <f>G7*1.05</f>
        <v>12762.815625000001</v>
      </c>
    </row>
    <row r="8" spans="2:8" ht="12.75">
      <c r="B8" s="5" t="s">
        <v>6</v>
      </c>
      <c r="C8" s="6">
        <v>500</v>
      </c>
      <c r="D8" s="6">
        <f>C8*1.004</f>
        <v>502</v>
      </c>
      <c r="E8" s="6">
        <f>D8*1.004</f>
        <v>504.008</v>
      </c>
      <c r="F8" s="6">
        <f>E8*1.004</f>
        <v>506.024032</v>
      </c>
      <c r="G8" s="6">
        <f>F8*1.004</f>
        <v>508.048128128</v>
      </c>
      <c r="H8" s="6">
        <f>G8*1.004</f>
        <v>510.08032064051196</v>
      </c>
    </row>
    <row r="9" spans="2:8" ht="12.75">
      <c r="B9" s="17" t="s">
        <v>7</v>
      </c>
      <c r="C9" s="18">
        <f>C7+C8</f>
        <v>10500</v>
      </c>
      <c r="D9" s="18">
        <f>D8+D7</f>
        <v>11002</v>
      </c>
      <c r="E9" s="18">
        <f>E8+E7</f>
        <v>11529.008</v>
      </c>
      <c r="F9" s="18">
        <f>F8+F7</f>
        <v>12082.274032</v>
      </c>
      <c r="G9" s="18">
        <f>G8+G7</f>
        <v>12663.110628128</v>
      </c>
      <c r="H9" s="18">
        <f>H8+H7</f>
        <v>13272.895945640514</v>
      </c>
    </row>
    <row r="10" spans="2:8" ht="13.5" thickBot="1">
      <c r="B10" s="7" t="s">
        <v>8</v>
      </c>
      <c r="C10" s="8">
        <f>C6+C9</f>
        <v>18500</v>
      </c>
      <c r="D10" s="8">
        <f>D9+D6</f>
        <v>19802</v>
      </c>
      <c r="E10" s="8">
        <f>E9+E6</f>
        <v>21209.008</v>
      </c>
      <c r="F10" s="8">
        <f>F9+F6</f>
        <v>22730.274032</v>
      </c>
      <c r="G10" s="8">
        <f>G9+G6</f>
        <v>23311.110628128</v>
      </c>
      <c r="H10" s="8">
        <f>H9+H6</f>
        <v>23920.895945640514</v>
      </c>
    </row>
    <row r="11" spans="2:8" ht="13.5" thickBot="1">
      <c r="B11" s="14" t="s">
        <v>9</v>
      </c>
      <c r="C11" s="15">
        <f aca="true" t="shared" si="0" ref="C11:H11">C5-C10</f>
        <v>11500</v>
      </c>
      <c r="D11" s="15">
        <f t="shared" si="0"/>
        <v>14698</v>
      </c>
      <c r="E11" s="15">
        <f t="shared" si="0"/>
        <v>18465.992</v>
      </c>
      <c r="F11" s="15">
        <f t="shared" si="0"/>
        <v>22895.975968</v>
      </c>
      <c r="G11" s="15">
        <f t="shared" si="0"/>
        <v>23227.664371872</v>
      </c>
      <c r="H11" s="16">
        <f t="shared" si="0"/>
        <v>23548.65455435949</v>
      </c>
    </row>
    <row r="12" spans="2:8" ht="12.75">
      <c r="B12" s="9" t="s">
        <v>10</v>
      </c>
      <c r="C12" s="10">
        <v>8000</v>
      </c>
      <c r="D12" s="10">
        <f>C12*1.05</f>
        <v>8400</v>
      </c>
      <c r="E12" s="10">
        <f>D12*1.1</f>
        <v>9240</v>
      </c>
      <c r="F12" s="10">
        <f>E12*1.1</f>
        <v>10164</v>
      </c>
      <c r="G12" s="10">
        <f>F12*1.08</f>
        <v>10977.12</v>
      </c>
      <c r="H12" s="10">
        <f>G12*1.08</f>
        <v>11855.289600000002</v>
      </c>
    </row>
    <row r="13" spans="2:8" ht="13.5" thickBot="1">
      <c r="B13" s="7" t="s">
        <v>11</v>
      </c>
      <c r="C13" s="8">
        <v>500</v>
      </c>
      <c r="D13" s="8">
        <f>C13+150</f>
        <v>650</v>
      </c>
      <c r="E13" s="8">
        <f>D13+150</f>
        <v>800</v>
      </c>
      <c r="F13" s="8">
        <f>E13+150</f>
        <v>950</v>
      </c>
      <c r="G13" s="8">
        <f>F13+150</f>
        <v>1100</v>
      </c>
      <c r="H13" s="8">
        <f>G13+150</f>
        <v>1250</v>
      </c>
    </row>
    <row r="14" spans="2:8" ht="13.5" thickBot="1">
      <c r="B14" s="14" t="s">
        <v>12</v>
      </c>
      <c r="C14" s="15">
        <f aca="true" t="shared" si="1" ref="C14:H14">C11-C12-C13</f>
        <v>3000</v>
      </c>
      <c r="D14" s="15">
        <f t="shared" si="1"/>
        <v>5648</v>
      </c>
      <c r="E14" s="15">
        <f t="shared" si="1"/>
        <v>8425.991999999998</v>
      </c>
      <c r="F14" s="15">
        <f t="shared" si="1"/>
        <v>11781.975967999999</v>
      </c>
      <c r="G14" s="15">
        <f t="shared" si="1"/>
        <v>11150.544371872</v>
      </c>
      <c r="H14" s="16">
        <f t="shared" si="1"/>
        <v>10443.36495435949</v>
      </c>
    </row>
    <row r="15" spans="2:8" ht="12.75">
      <c r="B15" s="9" t="s">
        <v>13</v>
      </c>
      <c r="C15" s="10">
        <v>500</v>
      </c>
      <c r="D15" s="10">
        <f>C15</f>
        <v>500</v>
      </c>
      <c r="E15" s="10">
        <f>D15</f>
        <v>500</v>
      </c>
      <c r="F15" s="10">
        <f>E15</f>
        <v>500</v>
      </c>
      <c r="G15" s="10">
        <f>F15</f>
        <v>500</v>
      </c>
      <c r="H15" s="10">
        <f>G15</f>
        <v>500</v>
      </c>
    </row>
    <row r="16" spans="2:8" ht="13.5" thickBot="1">
      <c r="B16" s="5" t="s">
        <v>14</v>
      </c>
      <c r="C16" s="6">
        <v>100</v>
      </c>
      <c r="D16" s="6">
        <v>100</v>
      </c>
      <c r="E16" s="6">
        <v>100</v>
      </c>
      <c r="F16" s="6">
        <v>50</v>
      </c>
      <c r="G16" s="6">
        <v>50</v>
      </c>
      <c r="H16" s="6">
        <v>50</v>
      </c>
    </row>
    <row r="17" spans="2:8" ht="13.5" thickBot="1">
      <c r="B17" s="14" t="s">
        <v>15</v>
      </c>
      <c r="C17" s="15">
        <f aca="true" t="shared" si="2" ref="C17:H17">-C15+C16+C14</f>
        <v>2600</v>
      </c>
      <c r="D17" s="15">
        <f t="shared" si="2"/>
        <v>5248</v>
      </c>
      <c r="E17" s="15">
        <f t="shared" si="2"/>
        <v>8025.991999999998</v>
      </c>
      <c r="F17" s="15">
        <f t="shared" si="2"/>
        <v>11331.975967999999</v>
      </c>
      <c r="G17" s="15">
        <f t="shared" si="2"/>
        <v>10700.544371872</v>
      </c>
      <c r="H17" s="15">
        <f t="shared" si="2"/>
        <v>9993.36495435949</v>
      </c>
    </row>
    <row r="18" spans="2:8" ht="13.5" thickBot="1">
      <c r="B18" s="11" t="s">
        <v>16</v>
      </c>
      <c r="C18" s="12">
        <f aca="true" t="shared" si="3" ref="C18:H18">C17*0.38</f>
        <v>988</v>
      </c>
      <c r="D18" s="12">
        <f t="shared" si="3"/>
        <v>1994.24</v>
      </c>
      <c r="E18" s="12">
        <f t="shared" si="3"/>
        <v>3049.8769599999996</v>
      </c>
      <c r="F18" s="12">
        <f t="shared" si="3"/>
        <v>4306.15086784</v>
      </c>
      <c r="G18" s="12">
        <f t="shared" si="3"/>
        <v>4066.20686131136</v>
      </c>
      <c r="H18" s="12">
        <f t="shared" si="3"/>
        <v>3797.478682656606</v>
      </c>
    </row>
    <row r="19" spans="2:8" ht="13.5" thickBot="1">
      <c r="B19" s="14" t="s">
        <v>17</v>
      </c>
      <c r="C19" s="15">
        <f aca="true" t="shared" si="4" ref="C19:H19">C17-C18</f>
        <v>1612</v>
      </c>
      <c r="D19" s="15">
        <f t="shared" si="4"/>
        <v>3253.76</v>
      </c>
      <c r="E19" s="15">
        <f t="shared" si="4"/>
        <v>4976.115039999999</v>
      </c>
      <c r="F19" s="15">
        <f t="shared" si="4"/>
        <v>7025.825100159999</v>
      </c>
      <c r="G19" s="15">
        <f t="shared" si="4"/>
        <v>6634.337510560639</v>
      </c>
      <c r="H19" s="15">
        <f t="shared" si="4"/>
        <v>6195.886271702883</v>
      </c>
    </row>
    <row r="20" spans="3:8" ht="12.75">
      <c r="C20" s="75"/>
      <c r="D20" s="75"/>
      <c r="E20" s="75"/>
      <c r="F20" s="75"/>
      <c r="G20" s="75"/>
      <c r="H20" s="75"/>
    </row>
    <row r="21" spans="3:8" ht="12.75">
      <c r="C21" s="75"/>
      <c r="D21" s="75"/>
      <c r="E21" s="75"/>
      <c r="F21" s="75"/>
      <c r="G21" s="75"/>
      <c r="H21" s="75"/>
    </row>
    <row r="22" spans="3:8" ht="13.5" thickBot="1">
      <c r="C22" s="2"/>
      <c r="D22" s="2"/>
      <c r="E22" s="2"/>
      <c r="F22" s="2"/>
      <c r="G22" s="2"/>
      <c r="H22" s="2"/>
    </row>
    <row r="23" spans="2:8" ht="13.5" thickBot="1">
      <c r="B23" s="3" t="s">
        <v>18</v>
      </c>
      <c r="C23" s="34">
        <f aca="true" t="shared" si="5" ref="C23:H23">C4</f>
        <v>2013</v>
      </c>
      <c r="D23" s="35">
        <f t="shared" si="5"/>
        <v>2014</v>
      </c>
      <c r="E23" s="35">
        <f t="shared" si="5"/>
        <v>2015</v>
      </c>
      <c r="F23" s="35">
        <f t="shared" si="5"/>
        <v>2016</v>
      </c>
      <c r="G23" s="35">
        <f t="shared" si="5"/>
        <v>2017</v>
      </c>
      <c r="H23" s="36">
        <f t="shared" si="5"/>
        <v>2018</v>
      </c>
    </row>
    <row r="24" spans="2:8" ht="12.75">
      <c r="B24" s="19" t="s">
        <v>19</v>
      </c>
      <c r="C24" s="37"/>
      <c r="D24" s="20"/>
      <c r="E24" s="20"/>
      <c r="F24" s="20"/>
      <c r="G24" s="20"/>
      <c r="H24" s="21"/>
    </row>
    <row r="25" spans="2:8" ht="12.75">
      <c r="B25" s="22" t="s">
        <v>20</v>
      </c>
      <c r="C25" s="38">
        <v>600</v>
      </c>
      <c r="D25" s="23">
        <v>600</v>
      </c>
      <c r="E25" s="23">
        <f>D25</f>
        <v>600</v>
      </c>
      <c r="F25" s="23">
        <v>450</v>
      </c>
      <c r="G25" s="23">
        <v>350</v>
      </c>
      <c r="H25" s="24">
        <v>100</v>
      </c>
    </row>
    <row r="26" spans="2:8" ht="12.75">
      <c r="B26" s="22" t="s">
        <v>21</v>
      </c>
      <c r="C26" s="38">
        <v>1400</v>
      </c>
      <c r="D26" s="23">
        <v>1500</v>
      </c>
      <c r="E26" s="23">
        <v>1600</v>
      </c>
      <c r="F26" s="23">
        <v>1600</v>
      </c>
      <c r="G26" s="23">
        <v>1400</v>
      </c>
      <c r="H26" s="24">
        <v>1000</v>
      </c>
    </row>
    <row r="27" spans="2:8" ht="13.5" thickBot="1">
      <c r="B27" s="25" t="s">
        <v>22</v>
      </c>
      <c r="C27" s="39">
        <v>500</v>
      </c>
      <c r="D27" s="26">
        <v>400</v>
      </c>
      <c r="E27" s="26">
        <v>300</v>
      </c>
      <c r="F27" s="26">
        <v>200</v>
      </c>
      <c r="G27" s="26">
        <v>400</v>
      </c>
      <c r="H27" s="27">
        <v>400</v>
      </c>
    </row>
    <row r="28" spans="2:12" ht="13.5" thickBot="1">
      <c r="B28" s="3" t="s">
        <v>23</v>
      </c>
      <c r="C28" s="76"/>
      <c r="D28" s="77"/>
      <c r="E28" s="77"/>
      <c r="F28" s="77"/>
      <c r="G28" s="77"/>
      <c r="H28" s="78"/>
      <c r="L28" s="2"/>
    </row>
    <row r="29" spans="2:10" ht="12.75">
      <c r="B29" s="22" t="s">
        <v>24</v>
      </c>
      <c r="C29" s="38">
        <v>450</v>
      </c>
      <c r="D29" s="23">
        <v>450</v>
      </c>
      <c r="E29" s="23">
        <v>500</v>
      </c>
      <c r="F29" s="23">
        <v>500</v>
      </c>
      <c r="G29" s="23">
        <v>400</v>
      </c>
      <c r="H29" s="24">
        <v>300</v>
      </c>
      <c r="J29" s="2"/>
    </row>
    <row r="30" spans="2:8" ht="12.75">
      <c r="B30" s="22" t="s">
        <v>25</v>
      </c>
      <c r="C30" s="38">
        <v>600</v>
      </c>
      <c r="D30" s="23">
        <v>500</v>
      </c>
      <c r="E30" s="23">
        <v>600</v>
      </c>
      <c r="F30" s="23">
        <v>700</v>
      </c>
      <c r="G30" s="23">
        <v>800</v>
      </c>
      <c r="H30" s="24">
        <v>900</v>
      </c>
    </row>
    <row r="31" spans="2:8" ht="13.5" thickBot="1">
      <c r="B31" s="25" t="s">
        <v>26</v>
      </c>
      <c r="C31" s="39">
        <v>210</v>
      </c>
      <c r="D31" s="26">
        <v>170</v>
      </c>
      <c r="E31" s="26">
        <v>350</v>
      </c>
      <c r="F31" s="26">
        <v>550</v>
      </c>
      <c r="G31" s="26">
        <v>750</v>
      </c>
      <c r="H31" s="27">
        <v>750</v>
      </c>
    </row>
    <row r="32" spans="3:8" ht="13.5" thickBot="1">
      <c r="C32" s="2"/>
      <c r="D32" s="2"/>
      <c r="E32" s="2"/>
      <c r="F32" s="2"/>
      <c r="G32" s="2"/>
      <c r="H32" s="2"/>
    </row>
    <row r="33" spans="2:8" ht="12.75">
      <c r="B33" s="28" t="s">
        <v>27</v>
      </c>
      <c r="C33" s="29">
        <f aca="true" t="shared" si="6" ref="C33:H33">C26+C27-C30-C31</f>
        <v>1090</v>
      </c>
      <c r="D33" s="29">
        <f>D26+D27-D30-D31</f>
        <v>1230</v>
      </c>
      <c r="E33" s="29">
        <f t="shared" si="6"/>
        <v>950</v>
      </c>
      <c r="F33" s="29">
        <f t="shared" si="6"/>
        <v>550</v>
      </c>
      <c r="G33" s="29">
        <f t="shared" si="6"/>
        <v>250</v>
      </c>
      <c r="H33" s="30">
        <f t="shared" si="6"/>
        <v>-250</v>
      </c>
    </row>
    <row r="34" spans="2:8" ht="13.5" thickBot="1">
      <c r="B34" s="31" t="s">
        <v>28</v>
      </c>
      <c r="C34" s="32"/>
      <c r="D34" s="32">
        <f>D33-C33</f>
        <v>140</v>
      </c>
      <c r="E34" s="32">
        <f>E33-D33</f>
        <v>-280</v>
      </c>
      <c r="F34" s="32">
        <f>F33-E33</f>
        <v>-400</v>
      </c>
      <c r="G34" s="32">
        <f>G33-F33</f>
        <v>-300</v>
      </c>
      <c r="H34" s="33">
        <f>H33-G33</f>
        <v>-500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58.140625" style="0" customWidth="1"/>
    <col min="2" max="7" width="11.28125" style="0" bestFit="1" customWidth="1"/>
  </cols>
  <sheetData>
    <row r="1" ht="13.5" thickBot="1"/>
    <row r="2" ht="13.5" thickBot="1">
      <c r="A2" s="40" t="s">
        <v>29</v>
      </c>
    </row>
    <row r="3" spans="1:7" ht="13.5" thickBot="1">
      <c r="A3" s="19"/>
      <c r="B3" s="43">
        <f>'CE'!C4</f>
        <v>2013</v>
      </c>
      <c r="C3" s="41">
        <f>'CE'!D4</f>
        <v>2014</v>
      </c>
      <c r="D3" s="41">
        <f>'CE'!E4</f>
        <v>2015</v>
      </c>
      <c r="E3" s="41">
        <f>'CE'!F4</f>
        <v>2016</v>
      </c>
      <c r="F3" s="41">
        <f>'CE'!G4</f>
        <v>2017</v>
      </c>
      <c r="G3" s="42">
        <f>'CE'!H4</f>
        <v>2018</v>
      </c>
    </row>
    <row r="4" spans="1:7" ht="12.75">
      <c r="A4" s="19" t="s">
        <v>30</v>
      </c>
      <c r="B4" s="44">
        <f>'CE'!C14</f>
        <v>3000</v>
      </c>
      <c r="C4" s="45">
        <f>'CE'!D14</f>
        <v>5648</v>
      </c>
      <c r="D4" s="45">
        <f>'CE'!E14</f>
        <v>8425.991999999998</v>
      </c>
      <c r="E4" s="45">
        <f>'CE'!F14</f>
        <v>11781.975967999999</v>
      </c>
      <c r="F4" s="45">
        <f>'CE'!G14</f>
        <v>11150.544371872</v>
      </c>
      <c r="G4" s="46">
        <f>'CE'!H14</f>
        <v>10443.36495435949</v>
      </c>
    </row>
    <row r="5" spans="1:7" ht="12.75">
      <c r="A5" s="22" t="s">
        <v>31</v>
      </c>
      <c r="B5" s="47">
        <f>'CE'!C12+'CE'!C13</f>
        <v>8500</v>
      </c>
      <c r="C5" s="48">
        <f>'CE'!D12+'CE'!D13</f>
        <v>9050</v>
      </c>
      <c r="D5" s="48">
        <f>'CE'!E12+'CE'!E13</f>
        <v>10040</v>
      </c>
      <c r="E5" s="48">
        <f>'CE'!F12+'CE'!F13</f>
        <v>11114</v>
      </c>
      <c r="F5" s="48">
        <f>'CE'!G12+'CE'!G13</f>
        <v>12077.12</v>
      </c>
      <c r="G5" s="49">
        <f>'CE'!H12+'CE'!H13</f>
        <v>13105.289600000002</v>
      </c>
    </row>
    <row r="6" spans="1:7" ht="12.75">
      <c r="A6" s="22" t="s">
        <v>32</v>
      </c>
      <c r="B6" s="47">
        <f>'CE'!C8</f>
        <v>500</v>
      </c>
      <c r="C6" s="48">
        <f>'CE'!D8</f>
        <v>502</v>
      </c>
      <c r="D6" s="48">
        <f>'CE'!E8</f>
        <v>504.008</v>
      </c>
      <c r="E6" s="48">
        <f>'CE'!F8</f>
        <v>506.024032</v>
      </c>
      <c r="F6" s="48">
        <f>'CE'!G8</f>
        <v>508.048128128</v>
      </c>
      <c r="G6" s="49">
        <f>'CE'!H8</f>
        <v>510.08032064051196</v>
      </c>
    </row>
    <row r="7" spans="1:7" ht="12.75">
      <c r="A7" s="22" t="s">
        <v>65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9">
        <v>0</v>
      </c>
    </row>
    <row r="8" spans="1:7" ht="12.75">
      <c r="A8" s="22" t="s">
        <v>33</v>
      </c>
      <c r="B8" s="47">
        <f>'CE'!C18</f>
        <v>988</v>
      </c>
      <c r="C8" s="48">
        <f>'CE'!D18</f>
        <v>1994.24</v>
      </c>
      <c r="D8" s="48">
        <f>'CE'!E18</f>
        <v>3049.8769599999996</v>
      </c>
      <c r="E8" s="48">
        <f>'CE'!F18</f>
        <v>4306.15086784</v>
      </c>
      <c r="F8" s="48">
        <f>'CE'!G18</f>
        <v>4066.20686131136</v>
      </c>
      <c r="G8" s="49">
        <f>'CE'!H18</f>
        <v>3797.478682656606</v>
      </c>
    </row>
    <row r="9" spans="1:7" ht="13.5" thickBot="1">
      <c r="A9" s="22" t="s">
        <v>34</v>
      </c>
      <c r="B9" s="47">
        <f>'CE'!C34*(-1)</f>
        <v>0</v>
      </c>
      <c r="C9" s="48">
        <f>-'CE'!D34</f>
        <v>-140</v>
      </c>
      <c r="D9" s="48">
        <f>-'CE'!E34</f>
        <v>280</v>
      </c>
      <c r="E9" s="48">
        <f>-'CE'!F34</f>
        <v>400</v>
      </c>
      <c r="F9" s="48">
        <f>-'CE'!G34</f>
        <v>300</v>
      </c>
      <c r="G9" s="48">
        <f>-'CE'!H34</f>
        <v>500</v>
      </c>
    </row>
    <row r="10" spans="1:7" ht="13.5" thickBot="1">
      <c r="A10" s="50" t="s">
        <v>35</v>
      </c>
      <c r="B10" s="51">
        <f aca="true" t="shared" si="0" ref="B10:G10">B4+B5+B6-B7-B8+B9</f>
        <v>11012</v>
      </c>
      <c r="C10" s="52">
        <f t="shared" si="0"/>
        <v>13065.76</v>
      </c>
      <c r="D10" s="52">
        <f t="shared" si="0"/>
        <v>16200.12304</v>
      </c>
      <c r="E10" s="52">
        <f>E4+E5+E6-E7-E8+E9</f>
        <v>19495.84913216</v>
      </c>
      <c r="F10" s="52">
        <f t="shared" si="0"/>
        <v>19969.505638688643</v>
      </c>
      <c r="G10" s="53">
        <f t="shared" si="0"/>
        <v>20761.256192343397</v>
      </c>
    </row>
    <row r="11" spans="1:7" ht="13.5" thickBot="1">
      <c r="A11" s="22" t="s">
        <v>36</v>
      </c>
      <c r="B11" s="47"/>
      <c r="C11" s="48">
        <v>10000</v>
      </c>
      <c r="D11" s="48">
        <v>10000</v>
      </c>
      <c r="E11" s="48">
        <v>10000</v>
      </c>
      <c r="F11" s="48">
        <v>10000</v>
      </c>
      <c r="G11" s="49"/>
    </row>
    <row r="12" spans="1:7" ht="13.5" thickBot="1">
      <c r="A12" s="50" t="s">
        <v>37</v>
      </c>
      <c r="B12" s="51">
        <f>B10-B11</f>
        <v>11012</v>
      </c>
      <c r="C12" s="52">
        <f>C10-C11</f>
        <v>3065.76</v>
      </c>
      <c r="D12" s="52">
        <f>D10-D11</f>
        <v>6200.12304</v>
      </c>
      <c r="E12" s="52">
        <f>E10-E11</f>
        <v>9495.849132160001</v>
      </c>
      <c r="F12" s="52">
        <f>F10-F11</f>
        <v>9969.505638688643</v>
      </c>
      <c r="G12" s="53">
        <f>G10-G11</f>
        <v>20761.256192343397</v>
      </c>
    </row>
    <row r="13" spans="1:7" ht="12.75">
      <c r="A13" s="22" t="s">
        <v>38</v>
      </c>
      <c r="B13" s="47">
        <f>'CE'!C16-'CE'!C15</f>
        <v>-400</v>
      </c>
      <c r="C13" s="48">
        <f>'CE'!D16-'CE'!D15</f>
        <v>-400</v>
      </c>
      <c r="D13" s="48">
        <f>'CE'!E16-'CE'!E15</f>
        <v>-400</v>
      </c>
      <c r="E13" s="48">
        <f>'CE'!F16-'CE'!F15</f>
        <v>-450</v>
      </c>
      <c r="F13" s="48">
        <f>'CE'!G16-'CE'!G15</f>
        <v>-450</v>
      </c>
      <c r="G13" s="49">
        <f>'CE'!H16-'CE'!H15</f>
        <v>-450</v>
      </c>
    </row>
    <row r="14" spans="1:7" ht="12.75">
      <c r="A14" s="22" t="s">
        <v>39</v>
      </c>
      <c r="B14" s="47">
        <v>0</v>
      </c>
      <c r="C14" s="48">
        <v>0</v>
      </c>
      <c r="D14" s="48">
        <v>0</v>
      </c>
      <c r="E14" s="48">
        <v>0</v>
      </c>
      <c r="F14" s="48">
        <v>0</v>
      </c>
      <c r="G14" s="49">
        <v>0</v>
      </c>
    </row>
    <row r="15" spans="1:7" ht="13.5" thickBot="1">
      <c r="A15" s="22" t="s">
        <v>40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9">
        <v>0</v>
      </c>
    </row>
    <row r="16" spans="1:7" ht="13.5" thickBot="1">
      <c r="A16" s="54" t="s">
        <v>41</v>
      </c>
      <c r="B16" s="55"/>
      <c r="C16" s="56">
        <f>C12+C13+C15</f>
        <v>2665.76</v>
      </c>
      <c r="D16" s="56">
        <f>D12+D13+D15</f>
        <v>5800.12304</v>
      </c>
      <c r="E16" s="56">
        <f>E12+E13+E15</f>
        <v>9045.849132160001</v>
      </c>
      <c r="F16" s="56">
        <f>F12+F13+F15</f>
        <v>9519.505638688643</v>
      </c>
      <c r="G16" s="57">
        <f>G12+G13+G15</f>
        <v>20311.256192343397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bestFit="1" customWidth="1"/>
    <col min="2" max="2" width="11.7109375" style="0" bestFit="1" customWidth="1"/>
    <col min="3" max="3" width="14.421875" style="0" bestFit="1" customWidth="1"/>
    <col min="4" max="7" width="7.7109375" style="0" bestFit="1" customWidth="1"/>
    <col min="8" max="8" width="12.8515625" style="0" bestFit="1" customWidth="1"/>
  </cols>
  <sheetData>
    <row r="2" ht="12.75">
      <c r="A2" t="s">
        <v>42</v>
      </c>
    </row>
    <row r="3" spans="1:8" ht="12.75">
      <c r="A3" s="65"/>
      <c r="B3" s="4">
        <f>'CF'!B3</f>
        <v>2013</v>
      </c>
      <c r="C3" s="4">
        <f>'CF'!C3</f>
        <v>2014</v>
      </c>
      <c r="D3" s="4">
        <f>'CF'!D3</f>
        <v>2015</v>
      </c>
      <c r="E3" s="4">
        <f>'CF'!E3</f>
        <v>2016</v>
      </c>
      <c r="F3" s="4">
        <f>'CF'!F3</f>
        <v>2017</v>
      </c>
      <c r="G3" s="4">
        <f>'CF'!G3</f>
        <v>2018</v>
      </c>
      <c r="H3" s="68" t="s">
        <v>66</v>
      </c>
    </row>
    <row r="4" spans="1:8" ht="12.75">
      <c r="A4" s="65" t="s">
        <v>43</v>
      </c>
      <c r="B4" s="58">
        <f>'CF'!B4</f>
        <v>3000</v>
      </c>
      <c r="C4" s="58">
        <f>'CF'!C4</f>
        <v>5648</v>
      </c>
      <c r="D4" s="58">
        <f>'CF'!D4</f>
        <v>8425.991999999998</v>
      </c>
      <c r="E4" s="58">
        <f>'CF'!E4</f>
        <v>11781.975967999999</v>
      </c>
      <c r="F4" s="58">
        <f>'CF'!F4</f>
        <v>11150.544371872</v>
      </c>
      <c r="G4" s="58">
        <f>'CF'!G4</f>
        <v>10443.36495435949</v>
      </c>
      <c r="H4" s="79">
        <f>AVERAGE(E4:G4)</f>
        <v>11125.295098077162</v>
      </c>
    </row>
    <row r="5" spans="1:8" ht="12.75">
      <c r="A5" s="65" t="s">
        <v>44</v>
      </c>
      <c r="B5" s="58">
        <f>'CF'!B8</f>
        <v>988</v>
      </c>
      <c r="C5" s="58">
        <f>'CF'!C8</f>
        <v>1994.24</v>
      </c>
      <c r="D5" s="58">
        <f>'CF'!D8</f>
        <v>3049.8769599999996</v>
      </c>
      <c r="E5" s="58">
        <f>'CF'!E8</f>
        <v>4306.15086784</v>
      </c>
      <c r="F5" s="58">
        <f>'CF'!F8</f>
        <v>4066.20686131136</v>
      </c>
      <c r="G5" s="58">
        <f>'CF'!G8</f>
        <v>3797.478682656606</v>
      </c>
      <c r="H5" s="79">
        <f>+AVERAGE(E5:G5)</f>
        <v>4056.612137269322</v>
      </c>
    </row>
    <row r="6" spans="1:8" ht="12.75">
      <c r="A6" s="65" t="s">
        <v>45</v>
      </c>
      <c r="B6" s="58">
        <f>'CF'!B5</f>
        <v>8500</v>
      </c>
      <c r="C6" s="58">
        <f>'CF'!C5</f>
        <v>9050</v>
      </c>
      <c r="D6" s="58">
        <f>'CF'!D5</f>
        <v>10040</v>
      </c>
      <c r="E6" s="58">
        <f>'CF'!E5</f>
        <v>11114</v>
      </c>
      <c r="F6" s="58">
        <f>'CF'!F5</f>
        <v>12077.12</v>
      </c>
      <c r="G6" s="58">
        <f>'CF'!G5</f>
        <v>13105.289600000002</v>
      </c>
      <c r="H6" s="79">
        <v>0</v>
      </c>
    </row>
    <row r="7" spans="1:8" ht="12.75">
      <c r="A7" s="65" t="s">
        <v>46</v>
      </c>
      <c r="B7" s="58">
        <f>+'CF'!B6-'CF'!B7</f>
        <v>500</v>
      </c>
      <c r="C7" s="58">
        <f>+'CF'!C6-'CF'!C7</f>
        <v>502</v>
      </c>
      <c r="D7" s="58">
        <f>+'CF'!D6-'CF'!D7</f>
        <v>504.008</v>
      </c>
      <c r="E7" s="58">
        <f>+'CF'!E6-'CF'!E7</f>
        <v>506.024032</v>
      </c>
      <c r="F7" s="58">
        <f>+'CF'!F6-'CF'!F7</f>
        <v>508.048128128</v>
      </c>
      <c r="G7" s="58">
        <f>+'CF'!G6-'CF'!G7</f>
        <v>510.08032064051196</v>
      </c>
      <c r="H7" s="79">
        <v>0</v>
      </c>
    </row>
    <row r="8" spans="1:8" ht="13.5" thickBot="1">
      <c r="A8" s="66" t="s">
        <v>28</v>
      </c>
      <c r="B8" s="59">
        <f>'CF'!B9</f>
        <v>0</v>
      </c>
      <c r="C8" s="59">
        <f>'CF'!C9</f>
        <v>-140</v>
      </c>
      <c r="D8" s="59">
        <f>'CF'!D9</f>
        <v>280</v>
      </c>
      <c r="E8" s="59">
        <f>'CF'!E9</f>
        <v>400</v>
      </c>
      <c r="F8" s="59">
        <f>'CF'!F9</f>
        <v>300</v>
      </c>
      <c r="G8" s="59">
        <f>'CF'!G9</f>
        <v>500</v>
      </c>
      <c r="H8" s="80">
        <v>0</v>
      </c>
    </row>
    <row r="9" spans="1:8" ht="13.5" thickBot="1">
      <c r="A9" s="3" t="s">
        <v>47</v>
      </c>
      <c r="B9" s="60">
        <f aca="true" t="shared" si="0" ref="B9:G9">+B4-B5+B6+B7+B8</f>
        <v>11012</v>
      </c>
      <c r="C9" s="60">
        <f t="shared" si="0"/>
        <v>13065.76</v>
      </c>
      <c r="D9" s="60">
        <f t="shared" si="0"/>
        <v>16200.123039999999</v>
      </c>
      <c r="E9" s="60">
        <f t="shared" si="0"/>
        <v>19495.84913216</v>
      </c>
      <c r="F9" s="60">
        <f t="shared" si="0"/>
        <v>19969.505638688643</v>
      </c>
      <c r="G9" s="60">
        <f t="shared" si="0"/>
        <v>20761.256192343397</v>
      </c>
      <c r="H9" s="81">
        <f>H4-H5+H6+H7-H8</f>
        <v>7068.682960807841</v>
      </c>
    </row>
    <row r="10" spans="1:8" ht="12.75">
      <c r="A10" s="67" t="s">
        <v>36</v>
      </c>
      <c r="B10" s="61">
        <f>'CF'!B11</f>
        <v>0</v>
      </c>
      <c r="C10" s="61">
        <f>'CF'!C11</f>
        <v>10000</v>
      </c>
      <c r="D10" s="61">
        <f>'CF'!D11</f>
        <v>10000</v>
      </c>
      <c r="E10" s="61">
        <f>'CF'!E11</f>
        <v>10000</v>
      </c>
      <c r="F10" s="61">
        <f>'CF'!F11</f>
        <v>10000</v>
      </c>
      <c r="G10" s="61">
        <f>'CF'!G11</f>
        <v>0</v>
      </c>
      <c r="H10" s="82">
        <v>0</v>
      </c>
    </row>
    <row r="11" spans="1:8" ht="13.5" thickBot="1">
      <c r="A11" s="66"/>
      <c r="B11" s="59"/>
      <c r="C11" s="59"/>
      <c r="D11" s="59"/>
      <c r="E11" s="59"/>
      <c r="F11" s="59"/>
      <c r="G11" s="59"/>
      <c r="H11" s="80"/>
    </row>
    <row r="12" spans="1:8" ht="13.5" thickBot="1">
      <c r="A12" s="3" t="s">
        <v>48</v>
      </c>
      <c r="B12" s="60"/>
      <c r="C12" s="60">
        <f>C4-C5+C6+C7+C8-C10</f>
        <v>3065.76</v>
      </c>
      <c r="D12" s="60">
        <f>D4-D5+D6+D7+D8-D10</f>
        <v>6200.123039999999</v>
      </c>
      <c r="E12" s="60">
        <f>E4-E5+E6+E7+E8-E10</f>
        <v>9495.849132160001</v>
      </c>
      <c r="F12" s="60">
        <f>F4-F5+F6+F7+F8-F10</f>
        <v>9969.505638688643</v>
      </c>
      <c r="G12" s="60">
        <f>G4-G5+G6+G7+G8-G10</f>
        <v>20761.256192343397</v>
      </c>
      <c r="H12" s="81">
        <f>H9+H10</f>
        <v>7068.682960807841</v>
      </c>
    </row>
    <row r="13" spans="2:7" ht="12.75">
      <c r="B13" s="62"/>
      <c r="C13" s="62"/>
      <c r="D13" s="62"/>
      <c r="E13" s="62"/>
      <c r="F13" s="62"/>
      <c r="G13" s="62"/>
    </row>
    <row r="15" spans="1:2" ht="12.75">
      <c r="A15" s="5" t="s">
        <v>49</v>
      </c>
      <c r="B15" s="63">
        <v>0.05</v>
      </c>
    </row>
    <row r="16" spans="1:2" ht="12.75">
      <c r="A16" s="5" t="s">
        <v>50</v>
      </c>
      <c r="B16" s="63">
        <v>0.38</v>
      </c>
    </row>
    <row r="17" spans="1:2" ht="12.75">
      <c r="A17" s="5" t="s">
        <v>51</v>
      </c>
      <c r="B17" s="58">
        <v>-2500</v>
      </c>
    </row>
    <row r="18" spans="1:2" ht="12.75">
      <c r="A18" s="5" t="s">
        <v>52</v>
      </c>
      <c r="B18" s="63">
        <v>0.5</v>
      </c>
    </row>
    <row r="19" spans="1:2" ht="12.75">
      <c r="A19" s="5" t="s">
        <v>53</v>
      </c>
      <c r="B19" s="63">
        <v>0.5</v>
      </c>
    </row>
    <row r="21" ht="12.75">
      <c r="A21" s="5" t="s">
        <v>54</v>
      </c>
    </row>
    <row r="22" spans="1:2" ht="12.75">
      <c r="A22" s="5" t="s">
        <v>55</v>
      </c>
      <c r="B22" s="63">
        <v>0.073</v>
      </c>
    </row>
    <row r="23" spans="1:2" ht="12.75">
      <c r="A23" s="5" t="s">
        <v>56</v>
      </c>
      <c r="B23" s="71">
        <f>B15*(1-B16)</f>
        <v>0.031</v>
      </c>
    </row>
    <row r="24" spans="1:4" ht="12.75">
      <c r="A24" s="4" t="s">
        <v>57</v>
      </c>
      <c r="B24" s="64">
        <f>B22*B18+B23*B19</f>
        <v>0.052</v>
      </c>
      <c r="D24" s="85"/>
    </row>
    <row r="26" ht="13.5" thickBot="1"/>
    <row r="27" spans="1:2" ht="13.5" thickBot="1">
      <c r="A27" s="69" t="s">
        <v>58</v>
      </c>
      <c r="B27" s="74">
        <f>NPV(B24,C12:G12)</f>
        <v>40925.41591979817</v>
      </c>
    </row>
    <row r="29" spans="1:2" ht="12.75">
      <c r="A29" s="5" t="s">
        <v>59</v>
      </c>
      <c r="B29" s="63">
        <v>0</v>
      </c>
    </row>
    <row r="31" spans="1:2" ht="13.5" thickBot="1">
      <c r="A31" s="7" t="s">
        <v>60</v>
      </c>
      <c r="B31" s="59">
        <f>H12/(B24)</f>
        <v>135936.21078476618</v>
      </c>
    </row>
    <row r="32" spans="1:2" ht="13.5" thickBot="1">
      <c r="A32" s="13" t="s">
        <v>61</v>
      </c>
      <c r="B32" s="73">
        <f>B31/(1+B24)^(G3-B3)</f>
        <v>105500.97196143294</v>
      </c>
    </row>
    <row r="33" ht="13.5" thickBot="1"/>
    <row r="34" spans="1:2" ht="13.5" thickBot="1">
      <c r="A34" s="69" t="s">
        <v>62</v>
      </c>
      <c r="B34" s="73">
        <v>-2500</v>
      </c>
    </row>
    <row r="36" ht="13.5" thickBot="1"/>
    <row r="37" spans="1:3" ht="13.5" thickBot="1">
      <c r="A37" s="54" t="s">
        <v>63</v>
      </c>
      <c r="B37" s="72">
        <f>B27+B32+B34</f>
        <v>143926.38788123112</v>
      </c>
      <c r="C37" s="75"/>
    </row>
    <row r="39" ht="12.75">
      <c r="B39" s="83"/>
    </row>
    <row r="40" ht="13.5" thickBot="1"/>
    <row r="41" spans="1:2" ht="13.5" thickBot="1">
      <c r="A41" s="13" t="s">
        <v>70</v>
      </c>
      <c r="B41" s="86">
        <f>B37-B34</f>
        <v>146426.38788123112</v>
      </c>
    </row>
    <row r="42" ht="13.5" thickBot="1"/>
    <row r="43" spans="1:3" ht="13.5" thickBot="1">
      <c r="A43" s="87" t="s">
        <v>64</v>
      </c>
      <c r="B43" s="70">
        <f>B41/'CE'!H11</f>
        <v>6.218036259490827</v>
      </c>
      <c r="C43" s="84" t="s">
        <v>67</v>
      </c>
    </row>
    <row r="44" spans="1:3" ht="13.5" thickBot="1">
      <c r="A44" s="88"/>
      <c r="B44" s="70">
        <f>+Valutazione!B41/AVERAGE('CE'!D11:H11)</f>
        <v>7.119392983910078</v>
      </c>
      <c r="C44" s="84" t="s">
        <v>69</v>
      </c>
    </row>
    <row r="45" spans="1:3" ht="13.5" thickBot="1">
      <c r="A45" s="89"/>
      <c r="B45" s="70">
        <f>Valutazione!B41/'CE'!D11</f>
        <v>9.962334187047974</v>
      </c>
      <c r="C45" s="84" t="s">
        <v>68</v>
      </c>
    </row>
  </sheetData>
  <sheetProtection/>
  <mergeCells count="1">
    <mergeCell ref="A43:A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Sartori</dc:creator>
  <cp:keywords/>
  <dc:description/>
  <cp:lastModifiedBy>Giovanni.Fusaro</cp:lastModifiedBy>
  <cp:lastPrinted>2007-11-28T16:01:49Z</cp:lastPrinted>
  <dcterms:created xsi:type="dcterms:W3CDTF">2007-11-26T20:55:46Z</dcterms:created>
  <dcterms:modified xsi:type="dcterms:W3CDTF">2013-11-28T17:08:05Z</dcterms:modified>
  <cp:category/>
  <cp:version/>
  <cp:contentType/>
  <cp:contentStatus/>
</cp:coreProperties>
</file>