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9435" windowHeight="5475" tabRatio="940" activeTab="1"/>
  </bookViews>
  <sheets>
    <sheet name="Cop" sheetId="1" r:id="rId1"/>
    <sheet name="Testo" sheetId="2" r:id="rId2"/>
    <sheet name="Curdura" sheetId="3" r:id="rId3"/>
    <sheet name="Pot" sheetId="4" r:id="rId4"/>
    <sheet name="Ene" sheetId="5" r:id="rId5"/>
    <sheet name="1(2e4)" sheetId="6" r:id="rId6"/>
    <sheet name="3" sheetId="7" r:id="rId7"/>
    <sheet name="5(7)" sheetId="8" r:id="rId8"/>
    <sheet name="6(8)" sheetId="9" r:id="rId9"/>
    <sheet name="9(10)" sheetId="10" r:id="rId10"/>
    <sheet name="Eco" sheetId="11" r:id="rId11"/>
    <sheet name="VAN-PRA" sheetId="12" r:id="rId12"/>
    <sheet name="TIR" sheetId="13" r:id="rId13"/>
    <sheet name="Riepilogo" sheetId="14" r:id="rId14"/>
  </sheets>
  <definedNames>
    <definedName name="_xlnm.Print_Area" localSheetId="5">'1(2e4)'!$A$1:$AU$40</definedName>
    <definedName name="_xlnm.Print_Area" localSheetId="6">'3'!$A$1:$AU$80</definedName>
    <definedName name="_xlnm.Print_Area" localSheetId="7">'5(7)'!$A$1:$AU$120</definedName>
    <definedName name="_xlnm.Print_Area" localSheetId="8">'6(8)'!$A$1:$AU$120</definedName>
    <definedName name="_xlnm.Print_Area" localSheetId="9">'9(10)'!$A$1:$AU$120</definedName>
    <definedName name="_xlnm.Print_Area" localSheetId="0">'Cop'!$A$1:$A$30</definedName>
    <definedName name="_xlnm.Print_Area" localSheetId="2">'Curdura'!$B$1:$F$19</definedName>
    <definedName name="_xlnm.Print_Area" localSheetId="10">'Eco'!$A$1:$E$20</definedName>
    <definedName name="_xlnm.Print_Area" localSheetId="4">'Ene'!$B$1:$U$22</definedName>
    <definedName name="_xlnm.Print_Area" localSheetId="3">'Pot'!$B$1:$W$30</definedName>
    <definedName name="_xlnm.Print_Area" localSheetId="13">'Riepilogo'!$A$1:$F$34</definedName>
    <definedName name="_xlnm.Print_Area" localSheetId="1">'Testo'!$A$1:$K$240</definedName>
    <definedName name="_xlnm.Print_Area" localSheetId="12">'TIR'!$A$7:$G$55</definedName>
    <definedName name="_xlnm.Print_Area" localSheetId="11">'VAN-PRA'!$A$7:$G$104</definedName>
    <definedName name="DbC">'Curdura'!$A$5:$D$14</definedName>
    <definedName name="DbCasi">'Pot'!$A$40:$W$60</definedName>
    <definedName name="DbCF">'Pot'!$B$10:$AB$20</definedName>
    <definedName name="Dbflussi">#REF!</definedName>
    <definedName name="DbP">'Pot'!$B$11:$AA$20</definedName>
    <definedName name="Dbr">'Pot'!$X$11:$AA$20</definedName>
    <definedName name="solver_adj" localSheetId="12" hidden="1">'TIR'!#REF!</definedName>
    <definedName name="solver_adj" localSheetId="11" hidden="1">'VAN-PRA'!$F$20:$F$45</definedName>
    <definedName name="solver_lin" localSheetId="12" hidden="1">0</definedName>
    <definedName name="solver_lin" localSheetId="11" hidden="1">0</definedName>
    <definedName name="solver_num" localSheetId="12" hidden="1">0</definedName>
    <definedName name="solver_num" localSheetId="11" hidden="1">0</definedName>
    <definedName name="solver_opt" localSheetId="12" hidden="1">'TIR'!#REF!</definedName>
    <definedName name="solver_opt" localSheetId="11" hidden="1">'VAN-PRA'!$E$54</definedName>
    <definedName name="solver_typ" localSheetId="12" hidden="1">1</definedName>
    <definedName name="solver_typ" localSheetId="11" hidden="1">1</definedName>
    <definedName name="solver_val" localSheetId="12" hidden="1">1</definedName>
    <definedName name="solver_val" localSheetId="11" hidden="1">1</definedName>
    <definedName name="_xlnm.Print_Titles" localSheetId="3">'Pot'!$1:$9</definedName>
    <definedName name="_xlnm.Print_Titles" localSheetId="12">'TIR'!$1:$5</definedName>
    <definedName name="_xlnm.Print_Titles" localSheetId="11">'VAN-PRA'!$1:$5</definedName>
    <definedName name="wrn.Summary." localSheetId="6" hidden="1">{"Summary",#N/A,FALSE,"Input"}</definedName>
    <definedName name="wrn.Summary." localSheetId="7" hidden="1">{"Summary",#N/A,FALSE,"Input"}</definedName>
    <definedName name="wrn.Summary." localSheetId="8" hidden="1">{"Summary",#N/A,FALSE,"Input"}</definedName>
    <definedName name="wrn.Summary." localSheetId="9" hidden="1">{"Summary",#N/A,FALSE,"Input"}</definedName>
    <definedName name="wrn.Summary." localSheetId="12" hidden="1">{"Summary",#N/A,FALSE,"Input"}</definedName>
    <definedName name="wrn.Summary." localSheetId="11" hidden="1">{"Summary",#N/A,FALSE,"Input"}</definedName>
    <definedName name="wrn.Summary." hidden="1">{"Summary",#N/A,FALSE,"Input"}</definedName>
  </definedNames>
  <calcPr fullCalcOnLoad="1"/>
</workbook>
</file>

<file path=xl/sharedStrings.xml><?xml version="1.0" encoding="utf-8"?>
<sst xmlns="http://schemas.openxmlformats.org/spreadsheetml/2006/main" count="874" uniqueCount="349">
  <si>
    <t>- 9B: carico elettrico comanda per coprire esattamente i fabbisogni elettrici dell'utenza, evacuando la potenza termica in eccesso (condizione 9B)
- 9C: carico termico comanda per coprire esattamente i fabbisogni termici dell'utenza; di conseguenza, la produzione elettrica diviene però inferiore al fabbisogno dell'utenza</t>
  </si>
  <si>
    <t>Premesso che (come già detto) si può funzionare solo nella condizione 9A, si analizza a puro titolo di esercizio il bilancio economico relativo a tutte e tre le condizioni. A carico elettrico comanda (9B)  si ottiene un margine operativo lordo superiore rispetto alle 9C, in quanto la maggiore energia elettrica prodotta, tutta utilizzata dall'utenza, vale di più del suo costo di produzione, anche in assenza dell'utilizzo del calore corrispondentemente prodotto.</t>
  </si>
  <si>
    <t>Infine, resta la condizione 9A, con un MOL inferiore alla 9A, perché l'energia elettrica prodotta in più è ceduta alla rete, e vale meno del suo costo di produzione.</t>
  </si>
  <si>
    <t>La tabella allegata mostra il calcolo dei flussi di cassa annuali. La valutazione è effettuata utilizzando, per ogni condizione di esercizio, il valore di carico del motore ottimale (modalità di regolazione 3 che consente la massima copertura dei fabbisogni dell'utenza).
Si ottiene pertanto il massimo MOL possibile.</t>
  </si>
  <si>
    <t>Situazione più conveniente - corrisponde alla massima copertura del fabbisogno</t>
  </si>
  <si>
    <t xml:space="preserve"> DURATA ANNUA</t>
  </si>
  <si>
    <t>POTENZA  ASSORBITA  (kW)</t>
  </si>
  <si>
    <t>ENERGIA  ASSORBITA  (MWh/anno)</t>
  </si>
  <si>
    <t>(ore)</t>
  </si>
  <si>
    <t>ELETTRICA</t>
  </si>
  <si>
    <t>TERMICA</t>
  </si>
  <si>
    <t>BILANCIO   POTENZE   (kW)</t>
  </si>
  <si>
    <t>DURATA</t>
  </si>
  <si>
    <t>Potenza</t>
  </si>
  <si>
    <t>ANNUA</t>
  </si>
  <si>
    <t>elettrica</t>
  </si>
  <si>
    <t>termica</t>
  </si>
  <si>
    <t>cogenerata</t>
  </si>
  <si>
    <t>cogen.</t>
  </si>
  <si>
    <t xml:space="preserve"> caldaie</t>
  </si>
  <si>
    <t>totale</t>
  </si>
  <si>
    <t xml:space="preserve"> (h/anno)</t>
  </si>
  <si>
    <t>PE</t>
  </si>
  <si>
    <t>PT</t>
  </si>
  <si>
    <t>eta cald</t>
  </si>
  <si>
    <t>BILANCIO   ENERGIE (MWh/anno)</t>
  </si>
  <si>
    <t>energia</t>
  </si>
  <si>
    <t>+</t>
  </si>
  <si>
    <t>=</t>
  </si>
  <si>
    <t xml:space="preserve"> FLUSSI DI CASSA</t>
  </si>
  <si>
    <t xml:space="preserve"> RICAVI / COSTI DI ESERCIZIO </t>
  </si>
  <si>
    <t xml:space="preserve"> 1 - </t>
  </si>
  <si>
    <t>FLUSSI ENERGETICI</t>
  </si>
  <si>
    <t xml:space="preserve"> - ricavi da energia termica cogenerata</t>
  </si>
  <si>
    <t xml:space="preserve"> - costo gas naturale per cogeneratore</t>
  </si>
  <si>
    <t xml:space="preserve"> 2 - </t>
  </si>
  <si>
    <t>ALTRI FLUSSI DI ESERCIZIO</t>
  </si>
  <si>
    <t xml:space="preserve"> - costo personale gestione</t>
  </si>
  <si>
    <t>MWh/anno</t>
  </si>
  <si>
    <t>Fabbisogni</t>
  </si>
  <si>
    <t>Energia
annua</t>
  </si>
  <si>
    <t>Prezzo
valorizz.</t>
  </si>
  <si>
    <t>Flusso
annuo</t>
  </si>
  <si>
    <t>Euro/anno
x 1.000</t>
  </si>
  <si>
    <t>Euro/MWh</t>
  </si>
  <si>
    <t xml:space="preserve"> COSTO DI INVESTIMENTO Euro x 1.000</t>
  </si>
  <si>
    <t xml:space="preserve"> MARGINE OPERATIVO LORDO   Euro x 1.000 / anno</t>
  </si>
  <si>
    <t xml:space="preserve"> - costo manutenzione cogeneratore</t>
  </si>
  <si>
    <t>PC</t>
  </si>
  <si>
    <t xml:space="preserve">)        / </t>
  </si>
  <si>
    <t>ANALISI ECONOMICA DI UN SISTEMA DI COGENERAZIONE</t>
  </si>
  <si>
    <t xml:space="preserve"> - ricavi da energia termica caldaia</t>
  </si>
  <si>
    <t xml:space="preserve"> - costo gas naturale per caldaia</t>
  </si>
  <si>
    <t>COGENERAZIONE DI UNO STABILIMENTO INDUSTRIALE</t>
  </si>
  <si>
    <t>Euro/kWh</t>
  </si>
  <si>
    <t>Euro/Sm3</t>
  </si>
  <si>
    <t>kWh/Sm3</t>
  </si>
  <si>
    <t>%</t>
  </si>
  <si>
    <t>costo gas consumato in cogenerazione:</t>
  </si>
  <si>
    <t>Euro/anno</t>
  </si>
  <si>
    <t>FORMULE DI CALCOLO</t>
  </si>
  <si>
    <t>Carico elettrico comanda</t>
  </si>
  <si>
    <t>Potenza termica prodotta = potenza elettrica prodotta / (E/Q motore)</t>
  </si>
  <si>
    <t>Carico termico comanda</t>
  </si>
  <si>
    <t>Potenza elettrica prodotta = potenza termica prodotta x (E/Q motore)</t>
  </si>
  <si>
    <t>Per tutti i casi</t>
  </si>
  <si>
    <t>•</t>
  </si>
  <si>
    <t>-</t>
  </si>
  <si>
    <t>La valorizzazione dell'energia elettrica cogenerata dipende dal tipo di utilizzo:</t>
  </si>
  <si>
    <t>Il valore dell’energia termica cogenerata è pari invece al costo evitato dell’energia prodotta da caldaie:</t>
  </si>
  <si>
    <t>Potenza elettrica</t>
  </si>
  <si>
    <t>assorbita</t>
  </si>
  <si>
    <t>importata</t>
  </si>
  <si>
    <t>esportata</t>
  </si>
  <si>
    <t>CEC</t>
  </si>
  <si>
    <t>CTC</t>
  </si>
  <si>
    <t>MAX</t>
  </si>
  <si>
    <t>Energia elettrica</t>
  </si>
  <si>
    <t>Energia elettrica 
cogenerata</t>
  </si>
  <si>
    <t>Potenza motore: 850 kWe</t>
  </si>
  <si>
    <t xml:space="preserve"> - ricavi da energia elettrica esportata</t>
  </si>
  <si>
    <t>Potenza termica consumata dal motore = potenza elettrica prodotta / rend. el. motore</t>
  </si>
  <si>
    <t>Potenza termica consumata dalla caldaia = potenza prodotta / rend. caldaia (=0,90)</t>
  </si>
  <si>
    <t>Massima copertura del fabbisogno</t>
  </si>
  <si>
    <t xml:space="preserve"> FABBISOGNI</t>
  </si>
  <si>
    <t>Energia termica</t>
  </si>
  <si>
    <t xml:space="preserve"> ENERGIA ELETTRICA</t>
  </si>
  <si>
    <t>Totale cogenerata</t>
  </si>
  <si>
    <t>Importata dalla rete</t>
  </si>
  <si>
    <t>Esportata sulla rete</t>
  </si>
  <si>
    <t xml:space="preserve"> ENERGIA TERMICA</t>
  </si>
  <si>
    <t>Prodotta da caldaie</t>
  </si>
  <si>
    <t>Totale</t>
  </si>
  <si>
    <t xml:space="preserve"> ENERGIA TERMICA CONSUMATA</t>
  </si>
  <si>
    <t>Motore cogenerativo</t>
  </si>
  <si>
    <t>Caldaie</t>
  </si>
  <si>
    <t xml:space="preserve"> MARGINE OPERATIVO LORDO </t>
  </si>
  <si>
    <t>MWh/a</t>
  </si>
  <si>
    <t>Euro x 1000 /a</t>
  </si>
  <si>
    <t xml:space="preserve"> MODALITA' DI REGOLAZIONE DEL MOTORE</t>
  </si>
  <si>
    <t xml:space="preserve">RIEPILOGO </t>
  </si>
  <si>
    <t>1)</t>
  </si>
  <si>
    <t>MODALITA' DI REGOLAZIONE DEL MOTORE COGENERATIVO</t>
  </si>
  <si>
    <t>2)</t>
  </si>
  <si>
    <t>3)</t>
  </si>
  <si>
    <t>DURATA DELL'INVESTIMENTO :</t>
  </si>
  <si>
    <t>ANNI</t>
  </si>
  <si>
    <t>TASSO DI ATTUALIZZAZIONE    :</t>
  </si>
  <si>
    <t>Anno</t>
  </si>
  <si>
    <t>Flusso</t>
  </si>
  <si>
    <t>Flusso di cassa</t>
  </si>
  <si>
    <t>Flusso cumulato</t>
  </si>
  <si>
    <t>di cassa</t>
  </si>
  <si>
    <t>cumulato</t>
  </si>
  <si>
    <t>attualizzato</t>
  </si>
  <si>
    <t>• INDICE DI RENDIMENTO</t>
  </si>
  <si>
    <t>• VALORE ATTUALIZZATO NETTO</t>
  </si>
  <si>
    <t>• PERIODO DI RECUPERO ATTUALIZZATO</t>
  </si>
  <si>
    <t>• TASSO INTERNO DI RENDIMENTO  =</t>
  </si>
  <si>
    <t>IMPIANTO DI COGENERAZIONE DI UNO STABILIMENTO IDUSTRIALE</t>
  </si>
  <si>
    <t>ANALISI DI FATTIBILITA' ECONOMICA</t>
  </si>
  <si>
    <t xml:space="preserve"> </t>
  </si>
  <si>
    <t>MODALITA' DI REGOLAZIONE: MASSIMA COPERTURA DEL FABBISOGNO</t>
  </si>
  <si>
    <t>import.</t>
  </si>
  <si>
    <t>TESTO</t>
  </si>
  <si>
    <t>ANALISI ECONOMICHE</t>
  </si>
  <si>
    <t>Flussi di esercizio</t>
  </si>
  <si>
    <t>Analisi economica.</t>
  </si>
  <si>
    <t>a stabil.</t>
  </si>
  <si>
    <t>I costi dell'energia attuali, senza cogenerazione, sono:</t>
  </si>
  <si>
    <t>In caso di installazione della cogenerazione, le energie prodotte e fornite allo stabilimento verranno valorizzate come costi evitati, ed inoltre si avrà:</t>
  </si>
  <si>
    <t>costo manutenzione del gruppo cogenerativo:</t>
  </si>
  <si>
    <t>costo annuo del personale di gestione:</t>
  </si>
  <si>
    <t>quando l'energia elettrica è consumata dalla stabilimento</t>
  </si>
  <si>
    <t>quando l'energia elettrica è esportata verso la rete</t>
  </si>
  <si>
    <t>Cogen. e assorbita dallo stabilim.</t>
  </si>
  <si>
    <t>Cogenerata e fornita a stab.</t>
  </si>
  <si>
    <t xml:space="preserve">CORSO DI </t>
  </si>
  <si>
    <t>LEZIONI DEL PROF. ALBERTO  PIATTI</t>
  </si>
  <si>
    <t>CALCOLO DI UN SISTEMA DI COGENERAZIONE</t>
  </si>
  <si>
    <t>Lo stabilimento richiede una potenza elettrica modesta ed ha un rapporto  E/Q elevato: per questo motivo è indicato l'utilizzo di un motore a ciclo Otto a gas, che ha rendimento elettrico elevato anche per macchine intorno al MW di potenza.</t>
  </si>
  <si>
    <t>kW</t>
  </si>
  <si>
    <t>Il carico minimo al quale può essere regolato il motore è pari al:</t>
  </si>
  <si>
    <t>del massimo</t>
  </si>
  <si>
    <t>GAS</t>
  </si>
  <si>
    <t>MOTORE
COGENERATIVO</t>
  </si>
  <si>
    <t>MANUTENZIONI</t>
  </si>
  <si>
    <t>Euro</t>
  </si>
  <si>
    <t>La stima del costo di investimento per il gruppo di cogenerazione è pari a:</t>
  </si>
  <si>
    <t>SCELTA DELLA MODALITA' DI REGOLAZIONE</t>
  </si>
  <si>
    <t>costo combustibile in uso (gas):</t>
  </si>
  <si>
    <t>potere calorifico inferiore:</t>
  </si>
  <si>
    <t>rendimento di combustione:</t>
  </si>
  <si>
    <t>VALORIZZAZIONE DELLE ENERGIE PRODOTTE</t>
  </si>
  <si>
    <t>Condiz.</t>
  </si>
  <si>
    <t>di funz.</t>
  </si>
  <si>
    <t>POTENZA TERMICA A UTENZA</t>
  </si>
  <si>
    <t>POTENZA TERMICA DISSIPATA</t>
  </si>
  <si>
    <t xml:space="preserve">  Potenza elettrica</t>
  </si>
  <si>
    <t xml:space="preserve">  Potenza termica</t>
  </si>
  <si>
    <t xml:space="preserve">  Potenza consumata</t>
  </si>
  <si>
    <t xml:space="preserve"> kW</t>
  </si>
  <si>
    <t>POTENZA ELETTRICA A RETE</t>
  </si>
  <si>
    <t>POTENZA ELETTRICA A UTENZA</t>
  </si>
  <si>
    <t>Sm3/h</t>
  </si>
  <si>
    <t>Euro/h</t>
  </si>
  <si>
    <t>energia ceduta alla rete:</t>
  </si>
  <si>
    <t>energia assorbita da stabilimento (prezzo uguale all'approvv. da rete):</t>
  </si>
  <si>
    <t>RICAVI</t>
  </si>
  <si>
    <t>COSTI</t>
  </si>
  <si>
    <t xml:space="preserve"> TOTALE</t>
  </si>
  <si>
    <t xml:space="preserve"> FLUSSI DI CASSA (Euro/h)</t>
  </si>
  <si>
    <t>2 e 4</t>
  </si>
  <si>
    <t xml:space="preserve"> - ricavi da energia elettrica cogenerata vs. stabilimento</t>
  </si>
  <si>
    <t>carico</t>
  </si>
  <si>
    <t>consum.</t>
  </si>
  <si>
    <t>scambiata con rete</t>
  </si>
  <si>
    <t>Potenza termica fornita</t>
  </si>
  <si>
    <t>a stabilimento</t>
  </si>
  <si>
    <t>dissipata</t>
  </si>
  <si>
    <t>Consumo di calore</t>
  </si>
  <si>
    <t>Durata</t>
  </si>
  <si>
    <t>annua</t>
  </si>
  <si>
    <t>(h/anno)</t>
  </si>
  <si>
    <t>esport.</t>
  </si>
  <si>
    <t>Tot.anno</t>
  </si>
  <si>
    <t>Mod. di regolaz.</t>
  </si>
  <si>
    <t>Caso</t>
  </si>
  <si>
    <t>Cond.</t>
  </si>
  <si>
    <t>Energia</t>
  </si>
  <si>
    <t>Energia termica fornita</t>
  </si>
  <si>
    <t>Modalità di regolaz.</t>
  </si>
  <si>
    <t>VAN</t>
  </si>
  <si>
    <t>PRA</t>
  </si>
  <si>
    <t>DCF neg</t>
  </si>
  <si>
    <t>RISULTATI FINALI - CALCOLO VAN e PRA</t>
  </si>
  <si>
    <t>RISULTATI FINALI - CALCOLO TIR</t>
  </si>
  <si>
    <t>(Euro)</t>
  </si>
  <si>
    <t>MARGINE
OPERATIVO
LORDO</t>
  </si>
  <si>
    <t>Condizione di funzionamento 3</t>
  </si>
  <si>
    <t xml:space="preserve">Rendimento totale (media annua) della cogenerazione  =  ( </t>
  </si>
  <si>
    <t>energia termica prodotta da caldaie, con costo che si calcola da:</t>
  </si>
  <si>
    <t>ricavo dall'energia elettrica immessa sulla rete (quando in eccesso):</t>
  </si>
  <si>
    <t>Si sceglie un motore con una potenza elettrica massima che possa essere utilizzata per un buon numero di ore/anno.</t>
  </si>
  <si>
    <t>Si calcolano:</t>
  </si>
  <si>
    <t>Pertanto,  per tale quota conviene adottare la modalità di regolazione CARICO TERMICO COMANDA, cioè si porta il motore a quel valore di carico per cui si può utilizzare interamente il calore cogenerato per la copertura dei fabbisogni termici dello stabilimento.</t>
  </si>
  <si>
    <t>In sintesi, si vende l'energia elettrica alla rete solo se si può utilizzare tutto  il calore cogenerato per la copertura dei fabbisogni dello stabilimento, altrimenti si riduce il carico del motore fino a quando si azzera l'energia elettrica venduta alla rete</t>
  </si>
  <si>
    <t>Quando le condizioni di esercizio permettono il recupero termico totale, il valore totale delle due energie prodotte è dato dalla somma del prezzo dell'energia elettrica e del prezzo del calore cogenerato:</t>
  </si>
  <si>
    <t>Il valore dell'energia complessivamente prodotta dipende da:</t>
  </si>
  <si>
    <t>grado di effettivo utilizzo del calore cogenerato (fra 0 e 100%)</t>
  </si>
  <si>
    <t>modalità di utilizzo dell'energia elettirca prodotta (per stabilimento o ceduta a rete).</t>
  </si>
  <si>
    <t>Pertanto il valore dell'energia complessivamente prodotta oscilla fra questi 4 limiti:</t>
  </si>
  <si>
    <t>Solo nel primo caso si ha un guadagno rispetto al costo di produzione + manutenzione.</t>
  </si>
  <si>
    <t>SCELTA DELLA MODALITA' DI REGOLAZIONE CASO PER CASO</t>
  </si>
  <si>
    <t>Negli schemi allegati sono evidenziate le valutazioni effettuate in merito alle diverse condizioni di funzionamento della curva di durata.</t>
  </si>
  <si>
    <t>Condizione di funzionamento 1 (vale anche per cond. 2 e 4)</t>
  </si>
  <si>
    <t>In questa condizione i fabbisogni di potenza elettrica e di potenza termica dell'utenza superano le potenze elettriche e termiche che il motore cogenerativo può fornire a carico massimo e quindi il motore viene fatto funzionare sempre al 100% del carico, con sfruttamento totale delle energie prodotte.</t>
  </si>
  <si>
    <t>A</t>
  </si>
  <si>
    <t>B</t>
  </si>
  <si>
    <t>C</t>
  </si>
  <si>
    <t>BILANCIO DEL FUNZIONAMENTO DEL GRUPPO DI COGENERAZIONE</t>
  </si>
  <si>
    <t>Vedere il bilancio riportato per la condizione di funzionamento 1</t>
  </si>
  <si>
    <t>Condizione di funzionamento 5 (vale anche per la condizione 7)</t>
  </si>
  <si>
    <t>Condizione di funzionamento 6 (vale anche per la condizione 8)</t>
  </si>
  <si>
    <t>Condizione di funzionamento 9</t>
  </si>
  <si>
    <t xml:space="preserve"> Analizzando il bilancio economico relativo alle tre possibilità si trova conferma che a carico termico comanda (ved. bilancio 5B)  si ottiene un margine operativo lordo superiore rispetto a carico elettrico comanda (ved. bilancio 5A) ed anche rispetto al funzionamento a carico 100% (ved. bilancio 5C).</t>
  </si>
  <si>
    <t>CONDIZIONI ESAMINATE</t>
  </si>
  <si>
    <t>Altre 
condizioni</t>
  </si>
  <si>
    <t>Nella fattispecie, la 6A (cioè funzionare a carico 90%) conviene di più della 6B, perchè (come avviene ed è già stato detto anche per la condizione 3) conviene produrre energia elettrica per uso diretto dell'utenza, anche se non si riesce a recuperare l'energia termica.</t>
  </si>
  <si>
    <t>Il tutto è riscontrabile confrontando il MOL ottenibile, visibile nei tre schemi allegati.</t>
  </si>
  <si>
    <t>Modalità reg.</t>
  </si>
  <si>
    <t xml:space="preserve"> RENDIMENTO MEDIO ANNUO</t>
  </si>
  <si>
    <t xml:space="preserve"> VALORE ATTUALIZZATO NETTO</t>
  </si>
  <si>
    <t>Euro x 1000</t>
  </si>
  <si>
    <t xml:space="preserve"> PERIODO RECUPERO ATTUALIZZATO</t>
  </si>
  <si>
    <t xml:space="preserve"> TASSO INTERNO DI RENDIMENTO </t>
  </si>
  <si>
    <t>Anni (*)</t>
  </si>
  <si>
    <t>Nota (*) - A partire dall'anno di inizio dell'esercizio</t>
  </si>
  <si>
    <t xml:space="preserve"> Anni di costruzione</t>
  </si>
  <si>
    <t>Condizione di funzionamento 10</t>
  </si>
  <si>
    <t>Anche in questa condizione, entrambi i fabbisogni di potenza dell'utenza (elettrico e termico) sono inferiori alle potenze che il motore cogenerativo può fornire a carico massimo e, come per il caso precedente, si presentano 3 possibilità:</t>
  </si>
  <si>
    <t>- maggior energia elettrica, che essendo in eccesso viene esportata sulla rete
- non si utilizza il maggior calore cogenerato
- maggior costo del combustibile e delle manutenzioni.</t>
  </si>
  <si>
    <t>Inoltre, la 6A conviene di più anche della 6C. Valutando le differenze fra le due possibilità, nella 6C si ha:</t>
  </si>
  <si>
    <t>Come già visto, il prezzo dell'energia elettrica ceduta alla rete, da solo, non remunera il costo del combustibile e delle manutenzioni, per cui l'aumento di carico della &amp;C non è conveniente.</t>
  </si>
  <si>
    <t>In questa condizione il fabbisogno di potenza elettrica dell'utenza supera la potenza elettrica che il motore cogenerativo può fornire a carico massimo mentre il fabbisogno di potenza termica dell'utenza risulta inferiore alla potenza termica che il motore cogenerativo può fornire a carico massimo. Il motore potrebbe quindi essere esercito in una delle modalità seguenti:</t>
  </si>
  <si>
    <t>Nella fattispecie, conviene la prima (cioè funzionare a carico 100%), perchè come già detto conviene produrre energia elettrica per uso diretto dell'utenza, anche se non si riesce a recuperare l'energia termica.</t>
  </si>
  <si>
    <t>Analizzando il bilancio economico relativo ad entrambe le possibilità si trova conferma che a carico elettrico comanda (ved. il bilancio riportato per la condizione di funzionamento 3A)  si ottine un margine operativo lordo superiore rispetto a carico termico comanda (ved. il bilancio riportato per la condizione di funzionamento 3B).</t>
  </si>
  <si>
    <t>In questa condizione, entrambi i fabbisogni di potenza dell'utenza (elettrico e termico) sono inferiori alle potenze che il motore cogenerativo può fornire a carico massimo. Il motore potrebbe quindi essere esercito a carico ridotto o a carico massimo e si presentano 3 possibilità:</t>
  </si>
  <si>
    <t>In questa condizione, sia il fabbisogno di potenza elettrica che quello di potenza termica dell'utenza risultano inferiori alla potenza elettrica e termica che il motore cogenerativo può fornire a carico minimo (50%). Perciò il motore deve essere fatto funzionare a tale valore di carico minimo (condizione 9A). A puro titolo di esercizio sono state analizzate anche le seguenti condizioni di esercizio:</t>
  </si>
  <si>
    <t>Valutare la fattibilità economica di installare un impianto di cogenerazione per uno stabilimento industriale che presenta fabbisogni di energia elettrica e termica come da tabella allegata.</t>
  </si>
  <si>
    <t>Tipo</t>
  </si>
  <si>
    <t>car.</t>
  </si>
  <si>
    <t>funz.</t>
  </si>
  <si>
    <t>In questa condizione di funzionamento si ottiene il valore di MOL massimo</t>
  </si>
  <si>
    <t>In questa condizione di funzionamento il valore del MOL risulta inferiore a quello ottenuto in modalità Carico Termico Comanda</t>
  </si>
  <si>
    <t>In questa condizione di funzionamento il valore del MOL migliora rispetto alla modalità Carico Elettrico Comanda</t>
  </si>
  <si>
    <t>ma risulta sempre inferiore a quello ottenuto in modalità Carico Termico Comanda</t>
  </si>
  <si>
    <t>In questa condizione di funzionamento il valore del MOL risulta inferiore a quello ottenuto in modalità Carico Elettrico Comanda</t>
  </si>
  <si>
    <t>In questa condizione di funzionamento il valore del MOL peggiora ulteriormente rispetto alle precedenti modalità di esercizio</t>
  </si>
  <si>
    <t>I fabbisogni elettrici e termici risultano inferiori alle corrispondenti produzioni che il motore può fornire al carico minimo (50%)</t>
  </si>
  <si>
    <t>Questa condizione di funzionamento è stata valutata unicamente per valutarne l'impatto sul MOL</t>
  </si>
  <si>
    <t>Il motore non può funzionare al di sotto del carico minimo fissato dal Costruttore</t>
  </si>
  <si>
    <t>I fabbisogni elettrici e termici risultano superiori alla produzione elettrica e termica del motore, che quindi deve funzionare a carico massimo</t>
  </si>
  <si>
    <t>I fabbisogni elettrici risultano superiori alla potenza del motore, che quindi funziona a carico massimo e tutta l'energia prodotta è utilizzata dallo stabilimento.</t>
  </si>
  <si>
    <t>Non tutto il calore cogenerato viene utilizzato, ma nonostante ciò (vedere spiegazioni) il MOL risulta il massimo fra le varie opzioni possibili</t>
  </si>
  <si>
    <t>In questa modalità di esercizio (Carico Termico Comanda) il MOL risulta inferiore a quello a Carico Massimo.</t>
  </si>
  <si>
    <t>In questo caso il motore viene fatto funzionare al carico minimo (50%), verificando che il MOL non risulti negativo</t>
  </si>
  <si>
    <t xml:space="preserve">SERVIZI ENERGETICI PER L'INDUSTRIA </t>
  </si>
  <si>
    <t>SCELTA / DIMENSIONAMENTO DEL GRUPPO DI COGENERAZIONE</t>
  </si>
  <si>
    <t>I rendimenti sono:</t>
  </si>
  <si>
    <t>Occorre inoltre verificare che la potenza termica prodotta possa, pure, essere utilizzata per un buon numero di ore all'anno.</t>
  </si>
  <si>
    <t>DIMENSIONAMENTO</t>
  </si>
  <si>
    <t>ANALISI ECONOMICA</t>
  </si>
  <si>
    <t>MODALITA' DI ESERCIZIO</t>
  </si>
  <si>
    <t>SIMULAZIONE DELL'ESERCIZIO SU BASE ANNUA</t>
  </si>
  <si>
    <t>Potenza elettrica prodotta = potenza massima motore, se "richiesta &gt;= potenza massima motore"; 
poi viene ridotto il carico: potenza motore = potenza richiesta dallo stabilimento, se "potenza motore &gt;= minimo carico del motore" (nell'esercizio:  50% del massimo);
per fabbisogni inferiori, potenza prodotta = carico minimo motore.</t>
  </si>
  <si>
    <t>Potenza termica prodotta = potenza massima motore, se "richiesta &gt;= potenza massima motore";
altrimenti P prodotta = potenza richiesta dall'utenza</t>
  </si>
  <si>
    <t>Il motore è esercito al massimo fra i due valori di carico ottenuti dalle modalità di regolazione sopra descritte.</t>
  </si>
  <si>
    <t>Potenza caldaia = potenza utenza - potenza cogenerata, purchè &gt; 0 (altrimenti è 0)</t>
  </si>
  <si>
    <t>Per ogni condizione operativa, la scelta della modalità di regolazione del motore cogenerativo si effettua cercando la massimizzazione del margine operativo lordo istantaneo (Euro/ora).</t>
  </si>
  <si>
    <t>Le analisi qui sotto descritte sono sintetizzabili in formule analitiche (vedere più sotto "Formule di calcolo").</t>
  </si>
  <si>
    <t>Energie annue</t>
  </si>
  <si>
    <t>Con le formule sopra riportate, si calcolano le potenze per ogni condizione di esercizio.</t>
  </si>
  <si>
    <t>Moltiplicando le potenze per le durate abbue assegnate, si ottengono le energie annue.</t>
  </si>
  <si>
    <t>I flussi di cassa si ottengono moltiplicando le energie annue per le rispettive tariffe (assegnate nei dati o calcolate coi criteri sopra illustrati).</t>
  </si>
  <si>
    <t>Infine, si riporta una tabella di riepilogo, che mostra i risultati ottenibili nei tre casi:
1 - utilizzando sempre la modalità di regolazione Carico Elettrico Comanda
2 - utilizzando sempre la modalità dio regolazione Carico Termico Comanda
3 - utilizzando, in ciascuna condizione, la modalità di regolazione ottimale (cioè il caso sopra descritto).</t>
  </si>
  <si>
    <t>Dato che i fabbisogni dello stabilimento, in ogni condizione, sono abbastanza ben bilanciati (cioè varia poco E/Q), i valori di carico del motore, fra le tre condizioni, differiscono di poco. 
Per questo, nei tre casi si ottengono risultati similari.</t>
  </si>
  <si>
    <t>/</t>
  </si>
  <si>
    <t>prezzo energia elettrica approvvigionata da rete pubblica</t>
  </si>
  <si>
    <t xml:space="preserve"> = </t>
  </si>
  <si>
    <t>PCI</t>
  </si>
  <si>
    <t>Rc</t>
  </si>
  <si>
    <t>Ce1</t>
  </si>
  <si>
    <t>Ce2</t>
  </si>
  <si>
    <t>Cg1</t>
  </si>
  <si>
    <t>Cg2</t>
  </si>
  <si>
    <t>Cp</t>
  </si>
  <si>
    <t>Cm</t>
  </si>
  <si>
    <t>Pe</t>
  </si>
  <si>
    <t>In questo caso si sceglie un motore con potenza elettrica massima</t>
  </si>
  <si>
    <t>Re</t>
  </si>
  <si>
    <t>Rt</t>
  </si>
  <si>
    <t>rendimento elettrico :</t>
  </si>
  <si>
    <t>rendimento termico :</t>
  </si>
  <si>
    <t>Potenza termica prodotta in cogenerazione a carico massimo:</t>
  </si>
  <si>
    <t>Pc = Pe / Re</t>
  </si>
  <si>
    <t>Pt = Pc x Rt</t>
  </si>
  <si>
    <t xml:space="preserve">Potenza termica assorbita a carico massimo: </t>
  </si>
  <si>
    <t>costo unitario dell'energia termica da gas utilizzato in cogenerazione</t>
  </si>
  <si>
    <t xml:space="preserve">costo energia termica da gas  / rend.elettrico. = </t>
  </si>
  <si>
    <t>sommando a questo il costo di manutenzione si ottiene il costo Cpe per produrre 1 kWh elettrico</t>
  </si>
  <si>
    <t>poichè il prezzo di valorizzazione dell'energia elettrica prodotta Ce1 è superiore al costo di produzione della stessa energia Cpe, in tutte le condizioni in cui l'energia elettrica prodotta dal motore cogenerativo viene interamente assorbita dallo stabilimento conviene adottare la modalità di regolazione CARICO ELETTRICO COMANDA, indipendentemente dalla possibilità di utilizzare o no il calore cogenerato, perchè il solo ricavo dalla produzione elettrica è già sufficiente per dare un profitto</t>
  </si>
  <si>
    <t>se invece una quota dell'energia elettrica prodotta dal motore cogenerativo deve essere riversata in rete (perché in eccesso rispetto a quella assorbita dallo stabilimento), questa quota vale Ce2 e ciò è inferiore al costo di produzione della stessa energia Cpe</t>
  </si>
  <si>
    <t>)</t>
  </si>
  <si>
    <t>C'q =</t>
  </si>
  <si>
    <t>In entrambi i casi si ha un notevole guadagno rispetto al costo Cpe (costo produzione = gas + manutenzione).</t>
  </si>
  <si>
    <t>Quando invece le condizioni di esercizio non permettono l'utilizzo completo del calore cogenerato, che può essere usato solo in modo parziale, l'energia prodotta deve essere scomposta in due quote:</t>
  </si>
  <si>
    <t xml:space="preserve"> A - la quota per cui è possibile il recupero del calore cogenerato
 B - la quota aggiuntiva, , per la quale si ha solo l'utilizzo elettrico senza sfruttamento di calore.</t>
  </si>
  <si>
    <t>Nel caso A il valore dell'energia complessivamente utilizzata è quello sopra riportato (Ceq1 oppure Ceq2). 
Nel caso b il valore dell'energia complessivamente utilizzata è il solo valore dell'energia elettrica:</t>
  </si>
  <si>
    <t>Ce1 =</t>
  </si>
  <si>
    <t>Ce2 =</t>
  </si>
  <si>
    <t>Il valore globale del calore cogenerato per ogni kWh elettrico prodotto si ottiene tenendo conto che per ogni kWh elettrico prodotto si ha un quantitativo di energia termica pari a Rt / Re :</t>
  </si>
  <si>
    <t>Cinv</t>
  </si>
  <si>
    <t>Euro/kWht</t>
  </si>
  <si>
    <t>Euro/kWhe</t>
  </si>
  <si>
    <t>Euro/kWhe prod.</t>
  </si>
  <si>
    <t>ore/anno</t>
  </si>
  <si>
    <t>Per effettuare la scelta della modalità di regolazione del motore cogenerativo occorre effettuare un confronto tra il valore dell’energia elettrica prodotta ed il costo di produzione della stessa, che è dato dalla somma:
(costo energia termica da gas / rend. el.) + costo di manutenzione:</t>
  </si>
  <si>
    <t>Cg2  /  PCI  =</t>
  </si>
  <si>
    <r>
      <t>Ceq1 (</t>
    </r>
    <r>
      <rPr>
        <sz val="8"/>
        <rFont val="Arial"/>
        <family val="2"/>
      </rPr>
      <t>si usa per l'en.elettrica consumata dall'utenza</t>
    </r>
    <r>
      <rPr>
        <sz val="10"/>
        <rFont val="Arial"/>
        <family val="2"/>
      </rPr>
      <t>) =</t>
    </r>
  </si>
  <si>
    <r>
      <t>Ceq2 (</t>
    </r>
    <r>
      <rPr>
        <sz val="8"/>
        <rFont val="Arial"/>
        <family val="2"/>
      </rPr>
      <t>si usa per l'en.elettrica esportata verso la rete</t>
    </r>
    <r>
      <rPr>
        <sz val="10"/>
        <rFont val="Arial"/>
        <family val="2"/>
      </rPr>
      <t>) =</t>
    </r>
  </si>
  <si>
    <t>3A</t>
  </si>
  <si>
    <t>3B</t>
  </si>
  <si>
    <t>5A</t>
  </si>
  <si>
    <t>5B</t>
  </si>
  <si>
    <t>5C</t>
  </si>
  <si>
    <t>Nella fattispecie, conviene la 5B, perchè come già detto:
- 5B rende più di 5A, perchè il maggior carico viene interamente sfruttato, sia in termini di energia termica che elettrica
- 5C invece non conviene, perchè si alza il carico solo per produrre energia elettrica per esportazione sulla rete, senza recuperare l'energia termica.</t>
  </si>
  <si>
    <t>6A</t>
  </si>
  <si>
    <t>6B</t>
  </si>
  <si>
    <t>6C</t>
  </si>
  <si>
    <t>a carico 100%, massimizzando l'energia elettrica prodotta e quindi creando un eccesso che viene esportato sulla rete. Nel contempo, rispetto a 6A aumenta quella parte del calore cogenerato che risulta in eccesso e viene evacuato.</t>
  </si>
  <si>
    <t>Questa condizione risulta analoga alla condizione 9 e il motore deve essere comunque fatto funzionare al carico minimo (50%, condizione 10A). L'unica differenza rispetto alla 9 è che stavolta la condizione di funzionamento più redditizia sarebbe quella a carico termico comanda (condizione 10C).</t>
  </si>
  <si>
    <t>A partire dai flussi di cassa, si calcolano gli indici di redditività col metodo del DCF:
 - Valore Attualizzato Netto (Euro)
 - Periodo di Recupero Attualizzato (anni) a partire dall'anno di inizio esercizio
 - Tasso Interno di Rendimento (%)</t>
  </si>
  <si>
    <t>Ore a Pe max</t>
  </si>
  <si>
    <t>Ore a Pe</t>
  </si>
  <si>
    <t>Ore a Pt max</t>
  </si>
  <si>
    <t>Ore a Pt</t>
  </si>
  <si>
    <t>Pemax</t>
  </si>
  <si>
    <t>Ptmax</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</si>
</sst>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00;[Red]\-&quot;L.&quot;\ #,##0.00"/>
    <numFmt numFmtId="165" formatCode="_-&quot;L.&quot;\ * #,##0_-;\-&quot;L.&quot;\ * #,##0_-;_-&quot;L.&quot;\ * &quot;-&quot;_-;_-@_-"/>
    <numFmt numFmtId="166" formatCode="#,##0.0"/>
    <numFmt numFmtId="167" formatCode="_-* #,##0.0_-;\-* #,##0.0_-;_-* &quot;-&quot;_-;_-@_-"/>
    <numFmt numFmtId="168" formatCode="0.0%"/>
    <numFmt numFmtId="169" formatCode="_-[$€-2]\ * #,##0.00_-;\-[$€-2]\ * #,##0.00_-;_-[$€-2]\ * &quot;-&quot;??_-"/>
    <numFmt numFmtId="170" formatCode="_-* #,##0.00_-;\-* #,##0.00_-;_-* &quot;-&quot;_-;_-@_-"/>
    <numFmt numFmtId="171" formatCode="0.0"/>
    <numFmt numFmtId="172" formatCode="_-* #,##0.000_-;\-* #,##0.000_-;_-* &quot;-&quot;_-;_-@_-"/>
    <numFmt numFmtId="173" formatCode="#,##0_ ;\-#,##0\ "/>
    <numFmt numFmtId="174" formatCode="##&quot;.&quot;##&quot;.&quot;##"/>
    <numFmt numFmtId="175" formatCode="&quot;L.&quot;\ #,##0;[Red]&quot;L.&quot;\ \-#,##0"/>
    <numFmt numFmtId="176" formatCode="#,##0_ ;[Red]\-#,##0\ "/>
    <numFmt numFmtId="177" formatCode="0.00000"/>
    <numFmt numFmtId="178" formatCode="0.0000"/>
    <numFmt numFmtId="179" formatCode="#,##0.000"/>
    <numFmt numFmtId="180" formatCode="0.000"/>
  </numFmts>
  <fonts count="36">
    <font>
      <sz val="10"/>
      <name val="Arial"/>
      <family val="2"/>
    </font>
    <font>
      <b/>
      <sz val="10"/>
      <name val="MS Sans Serif"/>
      <family val="0"/>
    </font>
    <font>
      <i/>
      <sz val="10"/>
      <name val="MS Sans Serif"/>
      <family val="0"/>
    </font>
    <font>
      <b/>
      <i/>
      <sz val="10"/>
      <name val="MS Sans Serif"/>
      <family val="0"/>
    </font>
    <font>
      <sz val="10"/>
      <name val="MS Sans Serif"/>
      <family val="0"/>
    </font>
    <font>
      <sz val="10"/>
      <color indexed="8"/>
      <name val="Arial"/>
      <family val="2"/>
    </font>
    <font>
      <b/>
      <sz val="10"/>
      <name val="Arial"/>
      <family val="2"/>
    </font>
    <font>
      <b/>
      <sz val="8"/>
      <name val="Arial"/>
      <family val="2"/>
    </font>
    <font>
      <sz val="10"/>
      <color indexed="12"/>
      <name val="Arial"/>
      <family val="2"/>
    </font>
    <font>
      <u val="single"/>
      <sz val="7.5"/>
      <color indexed="12"/>
      <name val="Arial"/>
      <family val="0"/>
    </font>
    <font>
      <u val="single"/>
      <sz val="7.5"/>
      <color indexed="36"/>
      <name val="Arial"/>
      <family val="0"/>
    </font>
    <font>
      <b/>
      <sz val="8"/>
      <color indexed="12"/>
      <name val="Arial"/>
      <family val="2"/>
    </font>
    <font>
      <sz val="12"/>
      <name val="Arial"/>
      <family val="2"/>
    </font>
    <font>
      <b/>
      <sz val="12"/>
      <name val="Arial"/>
      <family val="2"/>
    </font>
    <font>
      <b/>
      <sz val="10"/>
      <color indexed="8"/>
      <name val="Arial"/>
      <family val="2"/>
    </font>
    <font>
      <sz val="9"/>
      <color indexed="8"/>
      <name val="Arial"/>
      <family val="2"/>
    </font>
    <font>
      <sz val="8"/>
      <color indexed="9"/>
      <name val="Arial"/>
      <family val="2"/>
    </font>
    <font>
      <sz val="10"/>
      <color indexed="8"/>
      <name val="MS Sans Serif"/>
      <family val="0"/>
    </font>
    <font>
      <sz val="10"/>
      <color indexed="9"/>
      <name val="Arial"/>
      <family val="0"/>
    </font>
    <font>
      <sz val="10"/>
      <color indexed="10"/>
      <name val="Arial"/>
      <family val="2"/>
    </font>
    <font>
      <b/>
      <sz val="18"/>
      <name val="Arial"/>
      <family val="2"/>
    </font>
    <font>
      <b/>
      <sz val="14"/>
      <name val="Arial"/>
      <family val="2"/>
    </font>
    <font>
      <b/>
      <sz val="8"/>
      <color indexed="10"/>
      <name val="Arial"/>
      <family val="2"/>
    </font>
    <font>
      <sz val="12"/>
      <color indexed="10"/>
      <name val="Arial"/>
      <family val="2"/>
    </font>
    <font>
      <b/>
      <sz val="10"/>
      <color indexed="12"/>
      <name val="Arial"/>
      <family val="2"/>
    </font>
    <font>
      <b/>
      <sz val="12"/>
      <color indexed="10"/>
      <name val="Arial"/>
      <family val="2"/>
    </font>
    <font>
      <sz val="14"/>
      <color indexed="10"/>
      <name val="Arial"/>
      <family val="2"/>
    </font>
    <font>
      <sz val="8"/>
      <name val="Arial"/>
      <family val="2"/>
    </font>
    <font>
      <sz val="8"/>
      <name val="Helv"/>
      <family val="0"/>
    </font>
    <font>
      <sz val="9"/>
      <name val="Arial"/>
      <family val="2"/>
    </font>
    <font>
      <sz val="9"/>
      <color indexed="10"/>
      <name val="Arial"/>
      <family val="2"/>
    </font>
    <font>
      <b/>
      <sz val="10"/>
      <color indexed="8"/>
      <name val="MS Sans Serif"/>
      <family val="2"/>
    </font>
    <font>
      <b/>
      <sz val="10"/>
      <color indexed="10"/>
      <name val="Arial"/>
      <family val="2"/>
    </font>
    <font>
      <sz val="12"/>
      <color indexed="12"/>
      <name val="Arial"/>
      <family val="2"/>
    </font>
    <font>
      <sz val="14"/>
      <color indexed="12"/>
      <name val="Arial"/>
      <family val="2"/>
    </font>
    <font>
      <b/>
      <sz val="16"/>
      <name val="Arial"/>
      <family val="2"/>
    </font>
  </fonts>
  <fills count="8">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indexed="15"/>
        <bgColor indexed="64"/>
      </patternFill>
    </fill>
    <fill>
      <patternFill patternType="solid">
        <fgColor indexed="14"/>
        <bgColor indexed="64"/>
      </patternFill>
    </fill>
  </fills>
  <borders count="25">
    <border>
      <left/>
      <right/>
      <top/>
      <bottom/>
      <diagonal/>
    </border>
    <border>
      <left style="hair"/>
      <right style="hair"/>
      <top style="hair"/>
      <bottom style="hair"/>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4" fontId="27" fillId="0" borderId="0" applyFill="0" applyBorder="0">
      <alignment/>
      <protection/>
    </xf>
    <xf numFmtId="0" fontId="9" fillId="0" borderId="0" applyNumberForma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175" fontId="4" fillId="0" borderId="0" applyFont="0" applyFill="0" applyBorder="0" applyAlignment="0" applyProtection="0"/>
    <xf numFmtId="169" fontId="0" fillId="0" borderId="0" applyFont="0" applyFill="0" applyBorder="0" applyAlignment="0" applyProtection="0"/>
    <xf numFmtId="4" fontId="4"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vertical="center"/>
      <protection/>
    </xf>
    <xf numFmtId="0" fontId="4" fillId="0" borderId="0">
      <alignment/>
      <protection/>
    </xf>
    <xf numFmtId="9" fontId="4" fillId="0" borderId="0" applyFont="0" applyFill="0" applyBorder="0" applyAlignment="0" applyProtection="0"/>
    <xf numFmtId="0" fontId="28" fillId="0" borderId="1">
      <alignment horizontal="right"/>
      <protection/>
    </xf>
    <xf numFmtId="0" fontId="7" fillId="0" borderId="2" applyBorder="0">
      <alignment horizontal="centerContinuous" vertical="center" wrapText="1"/>
      <protection/>
    </xf>
    <xf numFmtId="164" fontId="4"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cellStyleXfs>
  <cellXfs count="424">
    <xf numFmtId="0" fontId="0" fillId="0" borderId="0" xfId="0" applyAlignment="1">
      <alignment/>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0" fillId="0" borderId="0" xfId="0" applyFont="1" applyAlignment="1">
      <alignment/>
    </xf>
    <xf numFmtId="41" fontId="0" fillId="0" borderId="3" xfId="0" applyNumberFormat="1" applyFont="1" applyBorder="1" applyAlignment="1">
      <alignment/>
    </xf>
    <xf numFmtId="41" fontId="6" fillId="0" borderId="3" xfId="0" applyNumberFormat="1" applyFont="1" applyBorder="1" applyAlignment="1">
      <alignment/>
    </xf>
    <xf numFmtId="41" fontId="0" fillId="0" borderId="0" xfId="0" applyNumberFormat="1" applyFont="1" applyAlignment="1">
      <alignment/>
    </xf>
    <xf numFmtId="0" fontId="0" fillId="0" borderId="0" xfId="0" applyFont="1" applyAlignment="1">
      <alignment/>
    </xf>
    <xf numFmtId="3" fontId="0" fillId="0" borderId="6" xfId="0" applyNumberFormat="1" applyFont="1" applyBorder="1" applyAlignment="1">
      <alignment vertical="center"/>
    </xf>
    <xf numFmtId="0" fontId="6" fillId="0" borderId="0" xfId="0" applyFont="1" applyAlignment="1">
      <alignment horizontal="centerContinuous" vertical="center"/>
    </xf>
    <xf numFmtId="0" fontId="0" fillId="0" borderId="2"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3" fontId="0" fillId="0" borderId="7" xfId="0" applyNumberFormat="1" applyFont="1" applyBorder="1" applyAlignment="1">
      <alignment horizontal="centerContinuous" vertical="center" wrapText="1"/>
    </xf>
    <xf numFmtId="166" fontId="0" fillId="0" borderId="7" xfId="0" applyNumberFormat="1" applyFont="1" applyBorder="1" applyAlignment="1">
      <alignment horizontal="centerContinuous" vertical="center" wrapText="1"/>
    </xf>
    <xf numFmtId="166" fontId="0" fillId="0" borderId="4" xfId="0" applyNumberFormat="1" applyFont="1" applyBorder="1" applyAlignment="1">
      <alignment horizontal="centerContinuous" vertical="center" wrapText="1"/>
    </xf>
    <xf numFmtId="0" fontId="0" fillId="0" borderId="9" xfId="0" applyFont="1" applyBorder="1" applyAlignment="1">
      <alignment vertical="center"/>
    </xf>
    <xf numFmtId="0" fontId="0" fillId="0" borderId="0" xfId="0" applyFont="1" applyBorder="1" applyAlignment="1">
      <alignment vertical="center"/>
    </xf>
    <xf numFmtId="3" fontId="0" fillId="0" borderId="9" xfId="0" applyNumberFormat="1" applyFont="1" applyBorder="1" applyAlignment="1">
      <alignment horizontal="centerContinuous" vertical="center"/>
    </xf>
    <xf numFmtId="166" fontId="0" fillId="0" borderId="9" xfId="0" applyNumberFormat="1" applyFont="1" applyBorder="1" applyAlignment="1">
      <alignment horizontal="centerContinuous" vertical="center"/>
    </xf>
    <xf numFmtId="166" fontId="0" fillId="0" borderId="10" xfId="0" applyNumberFormat="1" applyFont="1" applyBorder="1" applyAlignment="1">
      <alignment horizontal="centerContinuous"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Alignment="1">
      <alignment vertical="center"/>
    </xf>
    <xf numFmtId="0" fontId="6" fillId="0" borderId="2" xfId="0" applyFont="1" applyBorder="1" applyAlignment="1">
      <alignment horizontal="centerContinuous" vertical="center"/>
    </xf>
    <xf numFmtId="3" fontId="6" fillId="0" borderId="6" xfId="0" applyNumberFormat="1" applyFont="1" applyBorder="1" applyAlignment="1">
      <alignment horizontal="centerContinuous" vertical="center"/>
    </xf>
    <xf numFmtId="0" fontId="6" fillId="0" borderId="6" xfId="0" applyFont="1" applyBorder="1" applyAlignment="1">
      <alignment horizontal="centerContinuous" vertical="center"/>
    </xf>
    <xf numFmtId="0" fontId="6" fillId="0" borderId="13" xfId="0" applyFont="1" applyBorder="1" applyAlignment="1">
      <alignment horizontal="centerContinuous" vertical="center"/>
    </xf>
    <xf numFmtId="167" fontId="5" fillId="0" borderId="9" xfId="0" applyNumberFormat="1" applyFont="1" applyBorder="1" applyAlignment="1">
      <alignment vertical="center"/>
    </xf>
    <xf numFmtId="167" fontId="5" fillId="0" borderId="10" xfId="0" applyNumberFormat="1" applyFont="1" applyBorder="1" applyAlignment="1">
      <alignment vertical="center"/>
    </xf>
    <xf numFmtId="167" fontId="5" fillId="0" borderId="5" xfId="0" applyNumberFormat="1" applyFont="1" applyBorder="1" applyAlignment="1">
      <alignment vertical="center"/>
    </xf>
    <xf numFmtId="167" fontId="8" fillId="0" borderId="9" xfId="0" applyNumberFormat="1" applyFont="1" applyBorder="1" applyAlignment="1">
      <alignment vertical="center"/>
    </xf>
    <xf numFmtId="166" fontId="0" fillId="0" borderId="6" xfId="0" applyNumberFormat="1" applyFont="1" applyBorder="1" applyAlignment="1">
      <alignment vertical="center"/>
    </xf>
    <xf numFmtId="166" fontId="0" fillId="0" borderId="13" xfId="0" applyNumberFormat="1" applyFont="1" applyBorder="1" applyAlignment="1">
      <alignment vertical="center"/>
    </xf>
    <xf numFmtId="3" fontId="6" fillId="0" borderId="0" xfId="0" applyNumberFormat="1" applyFont="1" applyAlignment="1">
      <alignment horizontal="centerContinuous" vertical="center"/>
    </xf>
    <xf numFmtId="3" fontId="7" fillId="0" borderId="0" xfId="0" applyNumberFormat="1" applyFont="1" applyAlignment="1">
      <alignment vertical="center"/>
    </xf>
    <xf numFmtId="3" fontId="7" fillId="0" borderId="0" xfId="0" applyNumberFormat="1" applyFont="1" applyAlignment="1">
      <alignment horizontal="right" vertical="center"/>
    </xf>
    <xf numFmtId="3" fontId="7" fillId="0" borderId="5" xfId="0" applyNumberFormat="1" applyFont="1" applyBorder="1" applyAlignment="1">
      <alignment horizontal="center" vertical="center"/>
    </xf>
    <xf numFmtId="41" fontId="0" fillId="0" borderId="3" xfId="0" applyNumberFormat="1" applyFont="1" applyBorder="1" applyAlignment="1">
      <alignment vertical="center"/>
    </xf>
    <xf numFmtId="41" fontId="0" fillId="0" borderId="0" xfId="0" applyNumberFormat="1" applyFont="1" applyAlignment="1">
      <alignment vertical="center"/>
    </xf>
    <xf numFmtId="4" fontId="8" fillId="0" borderId="0" xfId="0" applyNumberFormat="1" applyFont="1" applyAlignment="1">
      <alignment vertical="center"/>
    </xf>
    <xf numFmtId="41" fontId="6" fillId="0" borderId="3" xfId="0" applyNumberFormat="1" applyFont="1" applyBorder="1" applyAlignment="1">
      <alignment vertical="center"/>
    </xf>
    <xf numFmtId="3" fontId="7" fillId="0" borderId="10" xfId="0" applyNumberFormat="1" applyFont="1" applyBorder="1" applyAlignment="1">
      <alignment horizontal="center" vertical="center"/>
    </xf>
    <xf numFmtId="3" fontId="7" fillId="0" borderId="0" xfId="0" applyNumberFormat="1" applyFont="1" applyBorder="1" applyAlignment="1">
      <alignment horizontal="center" vertical="center"/>
    </xf>
    <xf numFmtId="3" fontId="7" fillId="0" borderId="3" xfId="0" applyNumberFormat="1" applyFont="1" applyBorder="1" applyAlignment="1">
      <alignment horizontal="right" vertical="center"/>
    </xf>
    <xf numFmtId="3" fontId="7" fillId="0" borderId="3" xfId="0" applyNumberFormat="1" applyFont="1" applyBorder="1" applyAlignment="1">
      <alignment horizontal="center" vertical="center"/>
    </xf>
    <xf numFmtId="3" fontId="7" fillId="0" borderId="9" xfId="0" applyNumberFormat="1" applyFont="1" applyBorder="1" applyAlignment="1">
      <alignment horizontal="center" vertical="center"/>
    </xf>
    <xf numFmtId="3" fontId="8" fillId="0" borderId="3" xfId="0" applyNumberFormat="1" applyFont="1" applyBorder="1" applyAlignment="1">
      <alignment horizontal="right" vertical="center"/>
    </xf>
    <xf numFmtId="41" fontId="0" fillId="0" borderId="3" xfId="0" applyNumberFormat="1" applyFont="1" applyBorder="1" applyAlignment="1">
      <alignment vertical="center"/>
    </xf>
    <xf numFmtId="41" fontId="0" fillId="0" borderId="0" xfId="0" applyNumberFormat="1" applyFont="1" applyAlignment="1">
      <alignment vertical="center"/>
    </xf>
    <xf numFmtId="170" fontId="0" fillId="0" borderId="3" xfId="0" applyNumberFormat="1" applyFont="1" applyBorder="1" applyAlignment="1">
      <alignment vertical="center"/>
    </xf>
    <xf numFmtId="3" fontId="0" fillId="0" borderId="0" xfId="0" applyNumberFormat="1" applyFont="1" applyAlignment="1">
      <alignment vertical="center"/>
    </xf>
    <xf numFmtId="3" fontId="0" fillId="0" borderId="3" xfId="0" applyNumberFormat="1" applyFont="1" applyBorder="1" applyAlignment="1">
      <alignment horizontal="right" vertical="center"/>
    </xf>
    <xf numFmtId="3" fontId="0" fillId="0" borderId="3" xfId="0" applyNumberFormat="1" applyFont="1" applyBorder="1" applyAlignment="1">
      <alignment vertical="center"/>
    </xf>
    <xf numFmtId="3" fontId="0" fillId="0" borderId="0" xfId="0" applyNumberFormat="1" applyFont="1" applyAlignment="1">
      <alignment horizontal="right" vertical="center"/>
    </xf>
    <xf numFmtId="3" fontId="0" fillId="0" borderId="0" xfId="0" applyNumberFormat="1" applyFont="1" applyAlignment="1">
      <alignment horizontal="left" vertical="center"/>
    </xf>
    <xf numFmtId="3" fontId="0" fillId="0" borderId="0" xfId="0" applyNumberFormat="1" applyFont="1" applyAlignment="1" quotePrefix="1">
      <alignment horizontal="center" vertical="center"/>
    </xf>
    <xf numFmtId="3" fontId="0" fillId="0" borderId="0" xfId="0" applyNumberFormat="1" applyFont="1" applyAlignment="1" quotePrefix="1">
      <alignment vertical="center"/>
    </xf>
    <xf numFmtId="4" fontId="0" fillId="0" borderId="0" xfId="0" applyNumberFormat="1" applyFont="1" applyAlignment="1">
      <alignment vertical="center"/>
    </xf>
    <xf numFmtId="0" fontId="0" fillId="0" borderId="0" xfId="0" applyFont="1" applyAlignment="1">
      <alignment horizontal="centerContinuous" vertical="center"/>
    </xf>
    <xf numFmtId="3" fontId="0" fillId="0" borderId="0" xfId="0" applyNumberFormat="1" applyFont="1" applyAlignment="1">
      <alignment horizontal="centerContinuous" vertical="center"/>
    </xf>
    <xf numFmtId="0" fontId="0" fillId="0" borderId="6" xfId="0" applyFont="1" applyBorder="1" applyAlignment="1">
      <alignment horizontal="centerContinuous" vertical="center"/>
    </xf>
    <xf numFmtId="167" fontId="0" fillId="0" borderId="2" xfId="0" applyNumberFormat="1" applyFont="1" applyBorder="1" applyAlignment="1">
      <alignment vertical="center"/>
    </xf>
    <xf numFmtId="167" fontId="0" fillId="0" borderId="3" xfId="0" applyNumberFormat="1" applyFont="1" applyBorder="1" applyAlignment="1">
      <alignment vertical="center"/>
    </xf>
    <xf numFmtId="0" fontId="12" fillId="0" borderId="0" xfId="0" applyFont="1" applyAlignment="1">
      <alignment vertical="center"/>
    </xf>
    <xf numFmtId="0" fontId="12" fillId="0" borderId="6" xfId="0" applyFont="1" applyBorder="1" applyAlignment="1">
      <alignment vertical="center"/>
    </xf>
    <xf numFmtId="0" fontId="12" fillId="0" borderId="13"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vertical="center"/>
    </xf>
    <xf numFmtId="0" fontId="13" fillId="0" borderId="2" xfId="0" applyFont="1" applyBorder="1" applyAlignment="1">
      <alignment vertical="center"/>
    </xf>
    <xf numFmtId="0" fontId="13" fillId="0" borderId="2" xfId="0" applyFont="1" applyBorder="1" applyAlignment="1">
      <alignment horizontal="left" vertical="center"/>
    </xf>
    <xf numFmtId="0" fontId="5" fillId="0" borderId="0" xfId="26" applyFont="1">
      <alignment/>
      <protection/>
    </xf>
    <xf numFmtId="0" fontId="5" fillId="0" borderId="0" xfId="26" applyFont="1">
      <alignment/>
      <protection/>
    </xf>
    <xf numFmtId="0" fontId="14" fillId="0" borderId="0" xfId="26" applyFont="1" applyAlignment="1">
      <alignment horizontal="centerContinuous"/>
      <protection/>
    </xf>
    <xf numFmtId="0" fontId="14" fillId="0" borderId="0" xfId="26" applyFont="1" applyAlignment="1">
      <alignment horizontal="centerContinuous"/>
      <protection/>
    </xf>
    <xf numFmtId="0" fontId="5" fillId="0" borderId="0" xfId="26" applyFont="1" applyBorder="1">
      <alignment/>
      <protection/>
    </xf>
    <xf numFmtId="0" fontId="5" fillId="0" borderId="7" xfId="26" applyFont="1" applyBorder="1">
      <alignment/>
      <protection/>
    </xf>
    <xf numFmtId="0" fontId="5" fillId="0" borderId="8" xfId="26" applyFont="1" applyBorder="1">
      <alignment/>
      <protection/>
    </xf>
    <xf numFmtId="0" fontId="5" fillId="0" borderId="14" xfId="26" applyFont="1" applyBorder="1">
      <alignment/>
      <protection/>
    </xf>
    <xf numFmtId="0" fontId="5" fillId="0" borderId="9" xfId="26" applyFont="1" applyBorder="1" applyAlignment="1">
      <alignment horizontal="center"/>
      <protection/>
    </xf>
    <xf numFmtId="0" fontId="5" fillId="0" borderId="0" xfId="26" applyFont="1" applyBorder="1" applyAlignment="1">
      <alignment horizontal="center"/>
      <protection/>
    </xf>
    <xf numFmtId="0" fontId="5" fillId="0" borderId="15" xfId="26" applyFont="1" applyBorder="1">
      <alignment/>
      <protection/>
    </xf>
    <xf numFmtId="0" fontId="5" fillId="0" borderId="9" xfId="26" applyFont="1" applyBorder="1">
      <alignment/>
      <protection/>
    </xf>
    <xf numFmtId="0" fontId="5" fillId="0" borderId="11" xfId="26" applyFont="1" applyBorder="1">
      <alignment/>
      <protection/>
    </xf>
    <xf numFmtId="0" fontId="5" fillId="0" borderId="12" xfId="26" applyFont="1" applyBorder="1">
      <alignment/>
      <protection/>
    </xf>
    <xf numFmtId="0" fontId="5" fillId="0" borderId="16" xfId="26" applyFont="1" applyBorder="1">
      <alignment/>
      <protection/>
    </xf>
    <xf numFmtId="166" fontId="15" fillId="0" borderId="8" xfId="26" applyNumberFormat="1" applyFont="1" applyBorder="1">
      <alignment/>
      <protection/>
    </xf>
    <xf numFmtId="0" fontId="5" fillId="0" borderId="2" xfId="26" applyFont="1" applyBorder="1" applyAlignment="1">
      <alignment horizontal="center"/>
      <protection/>
    </xf>
    <xf numFmtId="0" fontId="17" fillId="0" borderId="0" xfId="26" applyFont="1">
      <alignment/>
      <protection/>
    </xf>
    <xf numFmtId="0" fontId="18" fillId="0" borderId="0" xfId="26" applyFont="1" applyBorder="1">
      <alignment/>
      <protection/>
    </xf>
    <xf numFmtId="0" fontId="17" fillId="0" borderId="0" xfId="26" applyFont="1" applyBorder="1">
      <alignment/>
      <protection/>
    </xf>
    <xf numFmtId="0" fontId="5" fillId="0" borderId="4" xfId="26" applyFont="1" applyBorder="1">
      <alignment/>
      <protection/>
    </xf>
    <xf numFmtId="0" fontId="5" fillId="0" borderId="10" xfId="26" applyFont="1" applyBorder="1" applyAlignment="1">
      <alignment horizontal="center"/>
      <protection/>
    </xf>
    <xf numFmtId="0" fontId="5" fillId="0" borderId="10" xfId="26" applyFont="1" applyBorder="1">
      <alignment/>
      <protection/>
    </xf>
    <xf numFmtId="0" fontId="5" fillId="0" borderId="5" xfId="26" applyFont="1" applyBorder="1">
      <alignment/>
      <protection/>
    </xf>
    <xf numFmtId="0" fontId="5" fillId="0" borderId="12" xfId="26" applyFont="1" applyBorder="1" applyAlignment="1">
      <alignment horizontal="center"/>
      <protection/>
    </xf>
    <xf numFmtId="172" fontId="12" fillId="0" borderId="3" xfId="0" applyNumberFormat="1" applyFont="1" applyBorder="1" applyAlignment="1">
      <alignment vertical="center"/>
    </xf>
    <xf numFmtId="0" fontId="0" fillId="0" borderId="3" xfId="0" applyFont="1" applyBorder="1" applyAlignment="1">
      <alignment vertical="center"/>
    </xf>
    <xf numFmtId="170" fontId="0" fillId="0" borderId="3" xfId="0" applyNumberFormat="1" applyFont="1" applyFill="1" applyBorder="1" applyAlignment="1">
      <alignment vertical="center"/>
    </xf>
    <xf numFmtId="3" fontId="19" fillId="0" borderId="0" xfId="0" applyNumberFormat="1" applyFont="1" applyAlignment="1">
      <alignment vertical="center"/>
    </xf>
    <xf numFmtId="41" fontId="0" fillId="0" borderId="3" xfId="0" applyNumberFormat="1" applyFont="1" applyFill="1" applyBorder="1" applyAlignment="1">
      <alignment vertical="center"/>
    </xf>
    <xf numFmtId="4" fontId="7" fillId="0" borderId="0" xfId="21" applyFont="1" applyAlignment="1">
      <alignment horizontal="right" vertical="center"/>
    </xf>
    <xf numFmtId="0" fontId="20" fillId="0" borderId="4" xfId="24" applyFont="1" applyBorder="1" applyAlignment="1">
      <alignment horizontal="center"/>
      <protection/>
    </xf>
    <xf numFmtId="0" fontId="0" fillId="0" borderId="0" xfId="24" applyFont="1">
      <alignment/>
      <protection/>
    </xf>
    <xf numFmtId="0" fontId="20" fillId="0" borderId="10" xfId="24" applyFont="1" applyBorder="1" applyAlignment="1">
      <alignment horizontal="center"/>
      <protection/>
    </xf>
    <xf numFmtId="0" fontId="20" fillId="0" borderId="10" xfId="24" applyFont="1" applyBorder="1" applyAlignment="1">
      <alignment horizontal="justify"/>
      <protection/>
    </xf>
    <xf numFmtId="0" fontId="0" fillId="0" borderId="10" xfId="24" applyFont="1" applyBorder="1">
      <alignment/>
      <protection/>
    </xf>
    <xf numFmtId="0" fontId="0" fillId="0" borderId="5" xfId="24" applyFont="1" applyBorder="1">
      <alignment/>
      <protection/>
    </xf>
    <xf numFmtId="0" fontId="6"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center"/>
    </xf>
    <xf numFmtId="0" fontId="0" fillId="0" borderId="0" xfId="0" applyFont="1" applyAlignment="1">
      <alignment horizontal="left"/>
    </xf>
    <xf numFmtId="9" fontId="0" fillId="0" borderId="0" xfId="0" applyNumberFormat="1" applyFont="1" applyFill="1" applyAlignment="1">
      <alignment/>
    </xf>
    <xf numFmtId="0" fontId="0" fillId="0" borderId="0" xfId="0" applyFont="1" applyAlignment="1">
      <alignment horizontal="center" vertical="top"/>
    </xf>
    <xf numFmtId="3" fontId="0" fillId="0" borderId="0" xfId="21" applyNumberFormat="1" applyFont="1" applyAlignment="1">
      <alignment horizontal="justify"/>
    </xf>
    <xf numFmtId="0" fontId="0" fillId="0" borderId="0" xfId="0" applyFont="1" applyFill="1" applyAlignment="1">
      <alignment horizontal="justify"/>
    </xf>
    <xf numFmtId="3" fontId="0" fillId="0" borderId="0" xfId="21" applyNumberFormat="1" applyFont="1" applyFill="1" applyAlignment="1">
      <alignment/>
    </xf>
    <xf numFmtId="3" fontId="7" fillId="0" borderId="7" xfId="0" applyNumberFormat="1" applyFont="1" applyBorder="1" applyAlignment="1">
      <alignment horizontal="center" vertical="center"/>
    </xf>
    <xf numFmtId="3" fontId="7" fillId="0" borderId="8" xfId="0" applyNumberFormat="1" applyFont="1" applyBorder="1" applyAlignment="1">
      <alignment horizontal="center" vertical="center"/>
    </xf>
    <xf numFmtId="3" fontId="7" fillId="0" borderId="14" xfId="0" applyNumberFormat="1" applyFont="1" applyBorder="1" applyAlignment="1">
      <alignment horizontal="center" vertical="center"/>
    </xf>
    <xf numFmtId="3" fontId="7" fillId="0" borderId="16" xfId="0" applyNumberFormat="1" applyFont="1" applyBorder="1" applyAlignment="1">
      <alignment horizontal="center" vertical="center"/>
    </xf>
    <xf numFmtId="3" fontId="13" fillId="0" borderId="0" xfId="0" applyNumberFormat="1" applyFont="1" applyAlignment="1">
      <alignment horizontal="center" vertical="center"/>
    </xf>
    <xf numFmtId="41" fontId="8" fillId="0" borderId="3" xfId="0" applyNumberFormat="1" applyFont="1" applyBorder="1" applyAlignment="1">
      <alignment/>
    </xf>
    <xf numFmtId="0" fontId="21" fillId="0" borderId="0" xfId="25" applyFont="1" applyAlignment="1">
      <alignment horizontal="center" vertical="center"/>
      <protection/>
    </xf>
    <xf numFmtId="0" fontId="0" fillId="0" borderId="0" xfId="25">
      <alignment vertical="center"/>
      <protection/>
    </xf>
    <xf numFmtId="0" fontId="13" fillId="0" borderId="0" xfId="25" applyFont="1">
      <alignment vertical="center"/>
      <protection/>
    </xf>
    <xf numFmtId="0" fontId="21" fillId="0" borderId="0" xfId="25" applyFont="1" applyAlignment="1">
      <alignment horizontal="center" wrapText="1"/>
      <protection/>
    </xf>
    <xf numFmtId="0" fontId="13" fillId="0" borderId="0" xfId="25" applyFont="1" applyAlignment="1">
      <alignment horizontal="left" vertical="center"/>
      <protection/>
    </xf>
    <xf numFmtId="0" fontId="0" fillId="0" borderId="17" xfId="25" applyBorder="1">
      <alignment vertical="center"/>
      <protection/>
    </xf>
    <xf numFmtId="0" fontId="0" fillId="0" borderId="18" xfId="25" applyBorder="1">
      <alignment vertical="center"/>
      <protection/>
    </xf>
    <xf numFmtId="0" fontId="0" fillId="0" borderId="19" xfId="25" applyBorder="1">
      <alignment vertical="center"/>
      <protection/>
    </xf>
    <xf numFmtId="0" fontId="21" fillId="0" borderId="0" xfId="25" applyFont="1">
      <alignment vertical="center"/>
      <protection/>
    </xf>
    <xf numFmtId="0" fontId="0" fillId="0" borderId="20" xfId="25" applyBorder="1">
      <alignment vertical="center"/>
      <protection/>
    </xf>
    <xf numFmtId="0" fontId="0" fillId="0" borderId="0" xfId="25" applyBorder="1">
      <alignment vertical="center"/>
      <protection/>
    </xf>
    <xf numFmtId="0" fontId="0" fillId="0" borderId="21" xfId="25" applyBorder="1">
      <alignment vertical="center"/>
      <protection/>
    </xf>
    <xf numFmtId="0" fontId="13" fillId="0" borderId="0" xfId="25" applyFont="1" applyAlignment="1">
      <alignment horizontal="center" vertical="center"/>
      <protection/>
    </xf>
    <xf numFmtId="0" fontId="0" fillId="0" borderId="22" xfId="25" applyBorder="1">
      <alignment vertical="center"/>
      <protection/>
    </xf>
    <xf numFmtId="0" fontId="0" fillId="0" borderId="23" xfId="25" applyBorder="1">
      <alignment vertical="center"/>
      <protection/>
    </xf>
    <xf numFmtId="0" fontId="0" fillId="0" borderId="24" xfId="25" applyBorder="1">
      <alignment vertical="center"/>
      <protection/>
    </xf>
    <xf numFmtId="0" fontId="12" fillId="0" borderId="0" xfId="25" applyFont="1" applyAlignment="1">
      <alignment horizontal="left"/>
      <protection/>
    </xf>
    <xf numFmtId="0" fontId="12" fillId="0" borderId="0" xfId="25" applyFont="1" applyAlignment="1">
      <alignment horizontal="left" vertical="top"/>
      <protection/>
    </xf>
    <xf numFmtId="3" fontId="8" fillId="0" borderId="0" xfId="21" applyNumberFormat="1" applyFont="1" applyAlignment="1">
      <alignment/>
    </xf>
    <xf numFmtId="9" fontId="8" fillId="0" borderId="0" xfId="0" applyNumberFormat="1" applyFont="1" applyFill="1" applyAlignment="1">
      <alignment/>
    </xf>
    <xf numFmtId="9" fontId="8" fillId="0" borderId="0" xfId="0" applyNumberFormat="1" applyFont="1" applyAlignment="1">
      <alignment/>
    </xf>
    <xf numFmtId="0" fontId="8" fillId="0" borderId="0" xfId="0" applyFont="1" applyAlignment="1">
      <alignment/>
    </xf>
    <xf numFmtId="3" fontId="8" fillId="0" borderId="0" xfId="0" applyNumberFormat="1" applyFont="1" applyAlignment="1">
      <alignment/>
    </xf>
    <xf numFmtId="0" fontId="0" fillId="0" borderId="0" xfId="0" applyFont="1" applyAlignment="1" quotePrefix="1">
      <alignment horizontal="left"/>
    </xf>
    <xf numFmtId="168" fontId="19" fillId="0" borderId="3" xfId="27" applyNumberFormat="1" applyFont="1" applyBorder="1" applyAlignment="1">
      <alignment horizontal="right" vertical="center"/>
    </xf>
    <xf numFmtId="3" fontId="19" fillId="0" borderId="3" xfId="0" applyNumberFormat="1" applyFont="1" applyBorder="1" applyAlignment="1">
      <alignment vertical="center"/>
    </xf>
    <xf numFmtId="4" fontId="22" fillId="0" borderId="3" xfId="0" applyNumberFormat="1" applyFont="1" applyBorder="1" applyAlignment="1">
      <alignment horizontal="right" vertical="center"/>
    </xf>
    <xf numFmtId="3" fontId="7" fillId="0" borderId="4" xfId="0" applyNumberFormat="1" applyFont="1" applyBorder="1" applyAlignment="1">
      <alignment horizontal="center" vertical="center"/>
    </xf>
    <xf numFmtId="41" fontId="0" fillId="0" borderId="3" xfId="0" applyNumberFormat="1" applyFont="1" applyBorder="1" applyAlignment="1">
      <alignment horizontal="center" vertical="center"/>
    </xf>
    <xf numFmtId="167" fontId="5" fillId="0" borderId="7" xfId="0" applyNumberFormat="1" applyFont="1" applyBorder="1" applyAlignment="1">
      <alignment vertical="center"/>
    </xf>
    <xf numFmtId="167" fontId="8" fillId="0" borderId="7" xfId="0" applyNumberFormat="1" applyFont="1" applyBorder="1" applyAlignment="1">
      <alignment vertical="center"/>
    </xf>
    <xf numFmtId="167" fontId="5" fillId="0" borderId="4" xfId="0" applyNumberFormat="1" applyFont="1" applyBorder="1" applyAlignment="1">
      <alignment vertical="center"/>
    </xf>
    <xf numFmtId="166" fontId="19" fillId="0" borderId="3" xfId="0" applyNumberFormat="1" applyFont="1" applyBorder="1" applyAlignment="1">
      <alignment vertical="center"/>
    </xf>
    <xf numFmtId="167" fontId="19" fillId="0" borderId="10" xfId="0" applyNumberFormat="1" applyFont="1" applyBorder="1" applyAlignment="1">
      <alignment vertical="center"/>
    </xf>
    <xf numFmtId="167" fontId="19" fillId="0" borderId="5" xfId="0" applyNumberFormat="1" applyFont="1" applyBorder="1" applyAlignment="1">
      <alignment vertical="center"/>
    </xf>
    <xf numFmtId="167" fontId="19" fillId="0" borderId="9" xfId="0" applyNumberFormat="1" applyFont="1" applyBorder="1" applyAlignment="1">
      <alignment vertical="center"/>
    </xf>
    <xf numFmtId="167" fontId="19" fillId="0" borderId="11" xfId="0" applyNumberFormat="1" applyFont="1" applyBorder="1" applyAlignment="1">
      <alignment vertical="center"/>
    </xf>
    <xf numFmtId="0" fontId="12" fillId="2" borderId="6" xfId="0" applyFont="1" applyFill="1" applyBorder="1" applyAlignment="1">
      <alignment vertical="center"/>
    </xf>
    <xf numFmtId="0" fontId="12" fillId="2" borderId="13"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horizontal="center" vertical="center"/>
    </xf>
    <xf numFmtId="41" fontId="23" fillId="0" borderId="3" xfId="0" applyNumberFormat="1" applyFont="1" applyBorder="1" applyAlignment="1">
      <alignment vertical="center"/>
    </xf>
    <xf numFmtId="167" fontId="23" fillId="0" borderId="3" xfId="23" applyNumberFormat="1" applyFont="1" applyBorder="1" applyAlignment="1">
      <alignment vertical="center"/>
    </xf>
    <xf numFmtId="0" fontId="21" fillId="0" borderId="0" xfId="25" applyFont="1" applyAlignment="1">
      <alignment horizontal="left"/>
      <protection/>
    </xf>
    <xf numFmtId="0" fontId="21" fillId="0" borderId="0" xfId="25" applyFont="1" applyAlignment="1">
      <alignment horizontal="right"/>
      <protection/>
    </xf>
    <xf numFmtId="0" fontId="0" fillId="0" borderId="0" xfId="25" applyFont="1">
      <alignment vertical="center"/>
      <protection/>
    </xf>
    <xf numFmtId="3" fontId="7" fillId="2" borderId="3" xfId="0" applyNumberFormat="1" applyFont="1" applyFill="1" applyBorder="1" applyAlignment="1">
      <alignment horizontal="center" vertical="center"/>
    </xf>
    <xf numFmtId="3" fontId="7" fillId="2" borderId="2" xfId="0" applyNumberFormat="1" applyFont="1" applyFill="1" applyBorder="1" applyAlignment="1">
      <alignment horizontal="center" vertical="center"/>
    </xf>
    <xf numFmtId="3" fontId="7" fillId="2" borderId="13" xfId="0" applyNumberFormat="1" applyFont="1" applyFill="1" applyBorder="1" applyAlignment="1">
      <alignment horizontal="center" vertical="center"/>
    </xf>
    <xf numFmtId="3" fontId="7" fillId="2" borderId="6" xfId="0" applyNumberFormat="1" applyFont="1" applyFill="1" applyBorder="1" applyAlignment="1">
      <alignment horizontal="center" vertical="center"/>
    </xf>
    <xf numFmtId="0" fontId="12" fillId="0" borderId="0" xfId="25" applyFont="1" applyBorder="1">
      <alignment vertical="center"/>
      <protection/>
    </xf>
    <xf numFmtId="0" fontId="12" fillId="0" borderId="20" xfId="25" applyFont="1" applyBorder="1">
      <alignment vertical="center"/>
      <protection/>
    </xf>
    <xf numFmtId="0" fontId="0" fillId="0" borderId="6" xfId="25" applyBorder="1">
      <alignment vertical="center"/>
      <protection/>
    </xf>
    <xf numFmtId="0" fontId="12" fillId="0" borderId="6" xfId="25" applyFont="1" applyBorder="1" applyAlignment="1">
      <alignment horizontal="left" vertical="top"/>
      <protection/>
    </xf>
    <xf numFmtId="0" fontId="12" fillId="0" borderId="13" xfId="25" applyFont="1" applyBorder="1" applyAlignment="1">
      <alignment horizontal="left" vertical="top"/>
      <protection/>
    </xf>
    <xf numFmtId="0" fontId="12" fillId="0" borderId="6" xfId="25" applyFont="1" applyBorder="1" applyAlignment="1">
      <alignment horizontal="justify" vertical="top"/>
      <protection/>
    </xf>
    <xf numFmtId="0" fontId="12" fillId="0" borderId="6" xfId="25" applyFont="1" applyBorder="1" applyAlignment="1">
      <alignment horizontal="justify" vertical="top" wrapText="1"/>
      <protection/>
    </xf>
    <xf numFmtId="0" fontId="12" fillId="0" borderId="13" xfId="25" applyFont="1" applyBorder="1" applyAlignment="1">
      <alignment horizontal="justify" vertical="top" wrapText="1"/>
      <protection/>
    </xf>
    <xf numFmtId="0" fontId="0" fillId="0" borderId="13" xfId="25" applyBorder="1">
      <alignment vertical="center"/>
      <protection/>
    </xf>
    <xf numFmtId="0" fontId="13" fillId="0" borderId="2" xfId="25" applyFont="1" applyBorder="1" applyAlignment="1">
      <alignment horizontal="left" vertical="top"/>
      <protection/>
    </xf>
    <xf numFmtId="0" fontId="13" fillId="0" borderId="2" xfId="25" applyFont="1" applyFill="1" applyBorder="1" applyAlignment="1">
      <alignment horizontal="left"/>
      <protection/>
    </xf>
    <xf numFmtId="0" fontId="13" fillId="0" borderId="6" xfId="25" applyFont="1" applyFill="1" applyBorder="1" applyAlignment="1">
      <alignment horizontal="left"/>
      <protection/>
    </xf>
    <xf numFmtId="0" fontId="13" fillId="0" borderId="13" xfId="25" applyFont="1" applyFill="1" applyBorder="1" applyAlignment="1">
      <alignment horizontal="left"/>
      <protection/>
    </xf>
    <xf numFmtId="166" fontId="12" fillId="0" borderId="6" xfId="25" applyNumberFormat="1" applyFont="1" applyBorder="1" applyAlignment="1">
      <alignment horizontal="center" vertical="top"/>
      <protection/>
    </xf>
    <xf numFmtId="166" fontId="12" fillId="0" borderId="13" xfId="25" applyNumberFormat="1" applyFont="1" applyBorder="1" applyAlignment="1">
      <alignment horizontal="center" vertical="top"/>
      <protection/>
    </xf>
    <xf numFmtId="0" fontId="26" fillId="0" borderId="2" xfId="25" applyFont="1" applyBorder="1" applyAlignment="1">
      <alignment horizontal="left" vertical="top"/>
      <protection/>
    </xf>
    <xf numFmtId="3" fontId="0" fillId="0" borderId="0" xfId="0" applyNumberFormat="1" applyFont="1" applyBorder="1" applyAlignment="1">
      <alignment horizontal="right" vertical="center"/>
    </xf>
    <xf numFmtId="3" fontId="8" fillId="0" borderId="0" xfId="0" applyNumberFormat="1" applyFont="1" applyBorder="1" applyAlignment="1">
      <alignment horizontal="right" vertical="center"/>
    </xf>
    <xf numFmtId="3" fontId="0" fillId="0" borderId="0" xfId="0" applyNumberFormat="1" applyFont="1" applyBorder="1" applyAlignment="1">
      <alignment vertical="center"/>
    </xf>
    <xf numFmtId="41" fontId="0" fillId="2" borderId="3" xfId="0" applyNumberFormat="1" applyFont="1" applyFill="1" applyBorder="1" applyAlignment="1">
      <alignment vertical="center"/>
    </xf>
    <xf numFmtId="173" fontId="0" fillId="2" borderId="3" xfId="0" applyNumberFormat="1" applyFont="1" applyFill="1" applyBorder="1" applyAlignment="1">
      <alignment horizontal="center" vertical="center"/>
    </xf>
    <xf numFmtId="9" fontId="0" fillId="0" borderId="3" xfId="27" applyFont="1" applyBorder="1" applyAlignment="1">
      <alignment vertical="center"/>
    </xf>
    <xf numFmtId="41" fontId="8" fillId="0" borderId="3" xfId="0" applyNumberFormat="1" applyFont="1" applyBorder="1" applyAlignment="1">
      <alignment horizontal="center" vertical="center"/>
    </xf>
    <xf numFmtId="173" fontId="8" fillId="2" borderId="3" xfId="0" applyNumberFormat="1" applyFont="1" applyFill="1" applyBorder="1" applyAlignment="1">
      <alignment horizontal="center" vertical="center"/>
    </xf>
    <xf numFmtId="41" fontId="6" fillId="2" borderId="3" xfId="0" applyNumberFormat="1" applyFont="1" applyFill="1" applyBorder="1" applyAlignment="1">
      <alignment vertical="center"/>
    </xf>
    <xf numFmtId="3" fontId="7" fillId="2" borderId="0" xfId="0" applyNumberFormat="1" applyFont="1" applyFill="1" applyBorder="1" applyAlignment="1">
      <alignment horizontal="center" vertical="center"/>
    </xf>
    <xf numFmtId="3" fontId="7" fillId="2" borderId="16" xfId="0" applyNumberFormat="1" applyFont="1" applyFill="1" applyBorder="1" applyAlignment="1">
      <alignment horizontal="center" vertical="center"/>
    </xf>
    <xf numFmtId="9" fontId="0" fillId="2" borderId="3" xfId="27" applyFont="1" applyFill="1" applyBorder="1" applyAlignment="1">
      <alignment vertical="center"/>
    </xf>
    <xf numFmtId="3" fontId="6" fillId="3" borderId="2" xfId="0" applyNumberFormat="1" applyFont="1" applyFill="1" applyBorder="1" applyAlignment="1">
      <alignment vertical="center"/>
    </xf>
    <xf numFmtId="3" fontId="7" fillId="3" borderId="13" xfId="0" applyNumberFormat="1" applyFont="1" applyFill="1" applyBorder="1" applyAlignment="1">
      <alignment vertical="center"/>
    </xf>
    <xf numFmtId="41" fontId="27" fillId="2" borderId="3" xfId="0" applyNumberFormat="1" applyFont="1" applyFill="1" applyBorder="1" applyAlignment="1">
      <alignment horizontal="center" vertical="center"/>
    </xf>
    <xf numFmtId="41" fontId="27" fillId="2" borderId="3" xfId="0" applyNumberFormat="1" applyFont="1" applyFill="1" applyBorder="1" applyAlignment="1">
      <alignment vertical="center"/>
    </xf>
    <xf numFmtId="0" fontId="0" fillId="0" borderId="0" xfId="26" applyFont="1" applyBorder="1">
      <alignment/>
      <protection/>
    </xf>
    <xf numFmtId="9" fontId="8" fillId="0" borderId="0" xfId="27" applyFont="1" applyBorder="1" applyAlignment="1">
      <alignment/>
    </xf>
    <xf numFmtId="0" fontId="5" fillId="2" borderId="3" xfId="26" applyFont="1" applyFill="1" applyBorder="1">
      <alignment/>
      <protection/>
    </xf>
    <xf numFmtId="0" fontId="24" fillId="2" borderId="3" xfId="26" applyFont="1" applyFill="1" applyBorder="1" applyAlignment="1">
      <alignment horizontal="center"/>
      <protection/>
    </xf>
    <xf numFmtId="0" fontId="5" fillId="2" borderId="3" xfId="26" applyFont="1" applyFill="1" applyBorder="1" applyAlignment="1">
      <alignment horizontal="center"/>
      <protection/>
    </xf>
    <xf numFmtId="0" fontId="5" fillId="2" borderId="0" xfId="26" applyFont="1" applyFill="1">
      <alignment/>
      <protection/>
    </xf>
    <xf numFmtId="0" fontId="31" fillId="2" borderId="3" xfId="26" applyFont="1" applyFill="1" applyBorder="1" applyAlignment="1">
      <alignment horizontal="center"/>
      <protection/>
    </xf>
    <xf numFmtId="0" fontId="1" fillId="2" borderId="3" xfId="26" applyFont="1" applyFill="1" applyBorder="1" applyAlignment="1">
      <alignment horizontal="center"/>
      <protection/>
    </xf>
    <xf numFmtId="3" fontId="15" fillId="2" borderId="3" xfId="26" applyNumberFormat="1" applyFont="1" applyFill="1" applyBorder="1">
      <alignment/>
      <protection/>
    </xf>
    <xf numFmtId="2" fontId="5" fillId="2" borderId="3" xfId="26" applyNumberFormat="1" applyFont="1" applyFill="1" applyBorder="1">
      <alignment/>
      <protection/>
    </xf>
    <xf numFmtId="3" fontId="5" fillId="2" borderId="3" xfId="26" applyNumberFormat="1" applyFont="1" applyFill="1" applyBorder="1">
      <alignment/>
      <protection/>
    </xf>
    <xf numFmtId="0" fontId="4" fillId="0" borderId="0" xfId="26" applyFont="1" applyBorder="1">
      <alignment/>
      <protection/>
    </xf>
    <xf numFmtId="2" fontId="29" fillId="0" borderId="0" xfId="26" applyNumberFormat="1" applyFont="1" applyBorder="1">
      <alignment/>
      <protection/>
    </xf>
    <xf numFmtId="3" fontId="15" fillId="0" borderId="0" xfId="26" applyNumberFormat="1" applyFont="1" applyBorder="1">
      <alignment/>
      <protection/>
    </xf>
    <xf numFmtId="176" fontId="5" fillId="4" borderId="3" xfId="26" applyNumberFormat="1" applyFont="1" applyFill="1" applyBorder="1">
      <alignment/>
      <protection/>
    </xf>
    <xf numFmtId="2" fontId="15" fillId="0" borderId="0" xfId="26" applyNumberFormat="1" applyFont="1" applyFill="1" applyBorder="1" applyAlignment="1">
      <alignment horizontal="right"/>
      <protection/>
    </xf>
    <xf numFmtId="0" fontId="8" fillId="0" borderId="0" xfId="26" applyFont="1" applyBorder="1">
      <alignment/>
      <protection/>
    </xf>
    <xf numFmtId="0" fontId="6" fillId="0" borderId="0" xfId="0" applyFont="1" applyAlignment="1">
      <alignment horizontal="left"/>
    </xf>
    <xf numFmtId="3" fontId="6" fillId="0" borderId="0" xfId="0" applyNumberFormat="1" applyFont="1" applyAlignment="1">
      <alignment horizontal="center" vertical="center"/>
    </xf>
    <xf numFmtId="3" fontId="0" fillId="0" borderId="0" xfId="0" applyNumberFormat="1" applyFont="1" applyAlignment="1">
      <alignment horizontal="center" vertical="center"/>
    </xf>
    <xf numFmtId="0" fontId="0" fillId="0" borderId="0" xfId="0" applyFont="1" applyAlignment="1">
      <alignment/>
    </xf>
    <xf numFmtId="0" fontId="32" fillId="0" borderId="3" xfId="25" applyFont="1" applyBorder="1" applyAlignment="1">
      <alignment horizontal="center" vertical="center"/>
      <protection/>
    </xf>
    <xf numFmtId="9" fontId="32" fillId="0" borderId="3" xfId="27" applyFont="1" applyBorder="1" applyAlignment="1">
      <alignment horizontal="center" vertical="center"/>
    </xf>
    <xf numFmtId="3" fontId="7" fillId="2" borderId="4" xfId="0" applyNumberFormat="1" applyFont="1" applyFill="1" applyBorder="1" applyAlignment="1">
      <alignment horizontal="center" vertical="center"/>
    </xf>
    <xf numFmtId="3" fontId="7" fillId="2" borderId="10" xfId="0" applyNumberFormat="1" applyFont="1" applyFill="1" applyBorder="1" applyAlignment="1">
      <alignment horizontal="center" vertical="center"/>
    </xf>
    <xf numFmtId="3" fontId="7" fillId="2" borderId="5" xfId="0" applyNumberFormat="1" applyFont="1" applyFill="1" applyBorder="1" applyAlignment="1">
      <alignment horizontal="center" vertical="center"/>
    </xf>
    <xf numFmtId="41" fontId="8" fillId="2" borderId="3" xfId="0" applyNumberFormat="1" applyFont="1" applyFill="1" applyBorder="1" applyAlignment="1">
      <alignment horizontal="center" vertical="center"/>
    </xf>
    <xf numFmtId="0" fontId="0" fillId="0" borderId="0" xfId="0" applyFont="1" applyFill="1" applyAlignment="1">
      <alignment horizontal="justify" wrapText="1"/>
    </xf>
    <xf numFmtId="0" fontId="6" fillId="0" borderId="3" xfId="25" applyFont="1" applyBorder="1" applyAlignment="1">
      <alignment horizontal="center" vertical="center"/>
      <protection/>
    </xf>
    <xf numFmtId="0" fontId="6" fillId="3" borderId="3" xfId="25" applyFont="1" applyFill="1" applyBorder="1" applyAlignment="1">
      <alignment horizontal="center" vertical="center"/>
      <protection/>
    </xf>
    <xf numFmtId="0" fontId="0" fillId="3" borderId="2" xfId="25" applyFont="1" applyFill="1" applyBorder="1">
      <alignment vertical="center"/>
      <protection/>
    </xf>
    <xf numFmtId="0" fontId="0" fillId="3" borderId="6" xfId="25" applyFill="1" applyBorder="1">
      <alignment vertical="center"/>
      <protection/>
    </xf>
    <xf numFmtId="0" fontId="0" fillId="3" borderId="13" xfId="25" applyFill="1" applyBorder="1">
      <alignment vertical="center"/>
      <protection/>
    </xf>
    <xf numFmtId="3" fontId="11" fillId="2" borderId="3" xfId="0" applyNumberFormat="1" applyFont="1" applyFill="1" applyBorder="1" applyAlignment="1">
      <alignment horizontal="center" vertical="center"/>
    </xf>
    <xf numFmtId="0" fontId="6" fillId="3" borderId="13" xfId="25" applyFont="1" applyFill="1" applyBorder="1" applyAlignment="1">
      <alignment horizontal="center" vertical="center"/>
      <protection/>
    </xf>
    <xf numFmtId="0" fontId="24" fillId="0" borderId="4" xfId="25" applyFont="1" applyBorder="1" applyAlignment="1">
      <alignment horizontal="center" vertical="center"/>
      <protection/>
    </xf>
    <xf numFmtId="0" fontId="6" fillId="3" borderId="2" xfId="25" applyFont="1" applyFill="1" applyBorder="1" applyAlignment="1">
      <alignment horizontal="center" vertical="center"/>
      <protection/>
    </xf>
    <xf numFmtId="0" fontId="8" fillId="2" borderId="3" xfId="0" applyNumberFormat="1" applyFont="1" applyFill="1" applyBorder="1" applyAlignment="1" quotePrefix="1">
      <alignment horizontal="center" vertical="center"/>
    </xf>
    <xf numFmtId="0" fontId="8" fillId="2" borderId="3" xfId="0" applyNumberFormat="1" applyFont="1" applyFill="1" applyBorder="1" applyAlignment="1">
      <alignment horizontal="center" vertical="center"/>
    </xf>
    <xf numFmtId="0" fontId="13" fillId="0" borderId="0" xfId="0" applyFont="1" applyBorder="1" applyAlignment="1">
      <alignment horizontal="left" vertical="center"/>
    </xf>
    <xf numFmtId="0" fontId="12" fillId="0" borderId="0" xfId="0" applyFont="1" applyBorder="1" applyAlignment="1">
      <alignment vertical="center"/>
    </xf>
    <xf numFmtId="167" fontId="23" fillId="0" borderId="0" xfId="23" applyNumberFormat="1" applyFont="1" applyBorder="1" applyAlignment="1">
      <alignment vertical="center"/>
    </xf>
    <xf numFmtId="167" fontId="23" fillId="0" borderId="0" xfId="23" applyNumberFormat="1" applyFont="1" applyFill="1" applyBorder="1" applyAlignment="1">
      <alignment vertical="center"/>
    </xf>
    <xf numFmtId="0" fontId="12" fillId="5" borderId="3" xfId="0" applyFont="1" applyFill="1" applyBorder="1" applyAlignment="1">
      <alignment vertical="center"/>
    </xf>
    <xf numFmtId="10" fontId="23" fillId="0" borderId="3" xfId="27" applyNumberFormat="1" applyFont="1" applyBorder="1" applyAlignment="1">
      <alignment vertical="center"/>
    </xf>
    <xf numFmtId="0" fontId="12" fillId="2" borderId="3" xfId="0" applyFont="1" applyFill="1" applyBorder="1" applyAlignment="1">
      <alignment vertical="center"/>
    </xf>
    <xf numFmtId="3" fontId="23" fillId="0" borderId="3" xfId="0" applyNumberFormat="1" applyFont="1" applyBorder="1" applyAlignment="1">
      <alignment horizontal="center" vertical="center"/>
    </xf>
    <xf numFmtId="0" fontId="24" fillId="3" borderId="3" xfId="26" applyFont="1" applyFill="1" applyBorder="1" applyAlignment="1">
      <alignment horizontal="center"/>
      <protection/>
    </xf>
    <xf numFmtId="0" fontId="12" fillId="0" borderId="0" xfId="0" applyFont="1" applyFill="1" applyAlignment="1">
      <alignment vertical="center"/>
    </xf>
    <xf numFmtId="0" fontId="12" fillId="0" borderId="0" xfId="0" applyFont="1" applyFill="1" applyAlignment="1">
      <alignment horizontal="center" vertical="center"/>
    </xf>
    <xf numFmtId="0" fontId="13" fillId="0" borderId="2" xfId="0" applyFont="1" applyFill="1" applyBorder="1" applyAlignment="1">
      <alignment vertical="center"/>
    </xf>
    <xf numFmtId="0" fontId="12" fillId="0" borderId="6" xfId="0" applyFont="1" applyFill="1" applyBorder="1" applyAlignment="1">
      <alignment vertical="center"/>
    </xf>
    <xf numFmtId="0" fontId="12" fillId="0" borderId="13" xfId="0" applyFont="1" applyFill="1" applyBorder="1" applyAlignment="1">
      <alignment vertical="center"/>
    </xf>
    <xf numFmtId="41" fontId="12" fillId="0" borderId="3" xfId="23" applyFont="1" applyFill="1" applyBorder="1" applyAlignment="1">
      <alignment vertical="center"/>
    </xf>
    <xf numFmtId="41" fontId="33" fillId="0" borderId="3" xfId="0" applyNumberFormat="1" applyFont="1" applyFill="1" applyBorder="1" applyAlignment="1">
      <alignment vertical="center"/>
    </xf>
    <xf numFmtId="41" fontId="33" fillId="0" borderId="3" xfId="0" applyNumberFormat="1" applyFont="1" applyBorder="1" applyAlignment="1">
      <alignment vertical="center"/>
    </xf>
    <xf numFmtId="0" fontId="33" fillId="0" borderId="6" xfId="0" applyFont="1" applyFill="1" applyBorder="1" applyAlignment="1">
      <alignment vertical="center"/>
    </xf>
    <xf numFmtId="0" fontId="33" fillId="0" borderId="13" xfId="0" applyFont="1" applyBorder="1" applyAlignment="1">
      <alignment vertical="center"/>
    </xf>
    <xf numFmtId="167" fontId="33" fillId="0" borderId="3" xfId="23" applyNumberFormat="1" applyFont="1" applyFill="1" applyBorder="1" applyAlignment="1">
      <alignment vertical="center"/>
    </xf>
    <xf numFmtId="167" fontId="33" fillId="0" borderId="3" xfId="23" applyNumberFormat="1" applyFont="1" applyBorder="1" applyAlignment="1">
      <alignment vertical="center"/>
    </xf>
    <xf numFmtId="10" fontId="33" fillId="0" borderId="3" xfId="27" applyNumberFormat="1" applyFont="1" applyFill="1" applyBorder="1" applyAlignment="1">
      <alignment vertical="center"/>
    </xf>
    <xf numFmtId="10" fontId="33" fillId="0" borderId="3" xfId="27" applyNumberFormat="1" applyFont="1" applyBorder="1" applyAlignment="1">
      <alignment vertical="center"/>
    </xf>
    <xf numFmtId="41" fontId="0" fillId="2" borderId="3" xfId="0" applyNumberFormat="1" applyFont="1" applyFill="1" applyBorder="1" applyAlignment="1">
      <alignment horizontal="center" vertical="center"/>
    </xf>
    <xf numFmtId="0" fontId="6" fillId="0" borderId="0" xfId="0" applyFont="1" applyFill="1" applyAlignment="1">
      <alignment horizontal="left"/>
    </xf>
    <xf numFmtId="0" fontId="13" fillId="0" borderId="0" xfId="0" applyFont="1" applyAlignment="1">
      <alignment/>
    </xf>
    <xf numFmtId="168" fontId="0" fillId="0" borderId="0" xfId="27" applyNumberFormat="1" applyFont="1" applyAlignment="1">
      <alignment vertical="center"/>
    </xf>
    <xf numFmtId="168" fontId="0" fillId="0" borderId="0" xfId="27" applyNumberFormat="1" applyFont="1" applyFill="1" applyAlignment="1">
      <alignment vertical="center"/>
    </xf>
    <xf numFmtId="167" fontId="19" fillId="0" borderId="10" xfId="0" applyNumberFormat="1" applyFont="1" applyBorder="1" applyAlignment="1">
      <alignment/>
    </xf>
    <xf numFmtId="3" fontId="13" fillId="0" borderId="0" xfId="0" applyNumberFormat="1" applyFont="1" applyAlignment="1">
      <alignment horizontal="left" vertical="center"/>
    </xf>
    <xf numFmtId="3" fontId="6" fillId="0" borderId="11" xfId="0" applyNumberFormat="1" applyFont="1" applyBorder="1" applyAlignment="1">
      <alignment horizontal="center" vertical="center"/>
    </xf>
    <xf numFmtId="3" fontId="6" fillId="0" borderId="12" xfId="0" applyNumberFormat="1" applyFont="1" applyBorder="1" applyAlignment="1">
      <alignment horizontal="center" vertical="center"/>
    </xf>
    <xf numFmtId="3" fontId="6" fillId="0" borderId="16" xfId="0" applyNumberFormat="1" applyFont="1" applyBorder="1" applyAlignment="1">
      <alignment horizontal="center" vertical="center"/>
    </xf>
    <xf numFmtId="9" fontId="8" fillId="0" borderId="0" xfId="0" applyNumberFormat="1" applyFont="1" applyAlignment="1">
      <alignment/>
    </xf>
    <xf numFmtId="168" fontId="19" fillId="0" borderId="3" xfId="27" applyNumberFormat="1" applyFont="1" applyBorder="1" applyAlignment="1">
      <alignment vertical="center"/>
    </xf>
    <xf numFmtId="41" fontId="8" fillId="0" borderId="3" xfId="0" applyNumberFormat="1" applyFont="1" applyBorder="1" applyAlignment="1">
      <alignment vertical="center"/>
    </xf>
    <xf numFmtId="41" fontId="8" fillId="0" borderId="3" xfId="0" applyNumberFormat="1" applyFont="1" applyFill="1" applyBorder="1" applyAlignment="1">
      <alignment vertical="center"/>
    </xf>
    <xf numFmtId="3" fontId="7" fillId="4" borderId="3" xfId="0" applyNumberFormat="1" applyFont="1" applyFill="1" applyBorder="1" applyAlignment="1">
      <alignment horizontal="center" vertical="center"/>
    </xf>
    <xf numFmtId="170" fontId="8" fillId="0" borderId="3" xfId="0" applyNumberFormat="1" applyFont="1" applyBorder="1" applyAlignment="1">
      <alignment vertical="center"/>
    </xf>
    <xf numFmtId="170" fontId="8" fillId="3" borderId="3" xfId="0" applyNumberFormat="1" applyFont="1" applyFill="1" applyBorder="1" applyAlignment="1">
      <alignment vertical="center"/>
    </xf>
    <xf numFmtId="3" fontId="0" fillId="0" borderId="4" xfId="0" applyNumberFormat="1" applyFont="1" applyBorder="1" applyAlignment="1">
      <alignment horizontal="center" vertical="center"/>
    </xf>
    <xf numFmtId="3" fontId="0" fillId="0" borderId="5" xfId="0" applyNumberFormat="1" applyFont="1" applyBorder="1" applyAlignment="1">
      <alignment horizontal="center" vertical="center"/>
    </xf>
    <xf numFmtId="0" fontId="16" fillId="0" borderId="9" xfId="26" applyFont="1" applyBorder="1">
      <alignment/>
      <protection/>
    </xf>
    <xf numFmtId="0" fontId="5" fillId="0" borderId="5" xfId="26" applyFont="1" applyBorder="1" applyAlignment="1">
      <alignment horizontal="center"/>
      <protection/>
    </xf>
    <xf numFmtId="166" fontId="15" fillId="0" borderId="4" xfId="26" applyNumberFormat="1" applyFont="1" applyBorder="1">
      <alignment/>
      <protection/>
    </xf>
    <xf numFmtId="41" fontId="30" fillId="0" borderId="2" xfId="26" applyNumberFormat="1" applyFont="1" applyBorder="1">
      <alignment/>
      <protection/>
    </xf>
    <xf numFmtId="41" fontId="15" fillId="0" borderId="3" xfId="26" applyNumberFormat="1" applyFont="1" applyBorder="1">
      <alignment/>
      <protection/>
    </xf>
    <xf numFmtId="0" fontId="5" fillId="0" borderId="11" xfId="26" applyFont="1" applyBorder="1" applyAlignment="1">
      <alignment horizontal="center"/>
      <protection/>
    </xf>
    <xf numFmtId="41" fontId="15" fillId="0" borderId="2" xfId="26" applyNumberFormat="1" applyFont="1" applyBorder="1">
      <alignment/>
      <protection/>
    </xf>
    <xf numFmtId="41" fontId="15" fillId="0" borderId="3" xfId="26" applyNumberFormat="1" applyFont="1" applyFill="1" applyBorder="1">
      <alignment/>
      <protection/>
    </xf>
    <xf numFmtId="10" fontId="5" fillId="0" borderId="0" xfId="26" applyNumberFormat="1" applyFont="1" applyBorder="1">
      <alignment/>
      <protection/>
    </xf>
    <xf numFmtId="0" fontId="19" fillId="0" borderId="0" xfId="26" applyFont="1" applyBorder="1">
      <alignment/>
      <protection/>
    </xf>
    <xf numFmtId="9" fontId="19" fillId="0" borderId="0" xfId="27" applyFont="1" applyBorder="1" applyAlignment="1">
      <alignment/>
    </xf>
    <xf numFmtId="0" fontId="19" fillId="0" borderId="3" xfId="26" applyFont="1" applyBorder="1" applyAlignment="1">
      <alignment horizontal="center"/>
      <protection/>
    </xf>
    <xf numFmtId="41" fontId="30" fillId="0" borderId="6" xfId="26" applyNumberFormat="1" applyFont="1" applyBorder="1">
      <alignment/>
      <protection/>
    </xf>
    <xf numFmtId="3" fontId="11" fillId="3" borderId="3" xfId="0" applyNumberFormat="1" applyFont="1" applyFill="1" applyBorder="1" applyAlignment="1">
      <alignment horizontal="center" vertical="center"/>
    </xf>
    <xf numFmtId="3" fontId="7" fillId="0" borderId="9" xfId="0" applyNumberFormat="1" applyFont="1" applyFill="1" applyBorder="1" applyAlignment="1">
      <alignment vertical="center"/>
    </xf>
    <xf numFmtId="3" fontId="7" fillId="0" borderId="15" xfId="0" applyNumberFormat="1" applyFont="1" applyFill="1" applyBorder="1" applyAlignment="1">
      <alignment vertical="center"/>
    </xf>
    <xf numFmtId="0" fontId="6" fillId="0" borderId="0" xfId="0" applyFont="1" applyAlignment="1">
      <alignment horizontal="justify"/>
    </xf>
    <xf numFmtId="0" fontId="35" fillId="0" borderId="10" xfId="24" applyFont="1" applyBorder="1" applyAlignment="1">
      <alignment horizontal="center"/>
      <protection/>
    </xf>
    <xf numFmtId="41" fontId="0" fillId="6" borderId="0" xfId="0" applyNumberFormat="1" applyFont="1" applyFill="1" applyAlignment="1">
      <alignment/>
    </xf>
    <xf numFmtId="168" fontId="33" fillId="0" borderId="3" xfId="27" applyNumberFormat="1" applyFont="1" applyFill="1" applyBorder="1" applyAlignment="1">
      <alignment vertical="center"/>
    </xf>
    <xf numFmtId="168" fontId="33" fillId="0" borderId="3" xfId="27" applyNumberFormat="1" applyFont="1" applyBorder="1" applyAlignment="1">
      <alignment vertical="center"/>
    </xf>
    <xf numFmtId="179" fontId="8" fillId="0" borderId="0" xfId="21" applyNumberFormat="1" applyFont="1" applyFill="1" applyAlignment="1">
      <alignment/>
    </xf>
    <xf numFmtId="180" fontId="8" fillId="0" borderId="0" xfId="0" applyNumberFormat="1" applyFont="1" applyAlignment="1">
      <alignment/>
    </xf>
    <xf numFmtId="2" fontId="8" fillId="0" borderId="0" xfId="0" applyNumberFormat="1" applyFont="1" applyAlignment="1">
      <alignment/>
    </xf>
    <xf numFmtId="179" fontId="0" fillId="0" borderId="0" xfId="0" applyNumberFormat="1" applyFont="1" applyAlignment="1">
      <alignment/>
    </xf>
    <xf numFmtId="2" fontId="0" fillId="0" borderId="0" xfId="0" applyNumberFormat="1"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0" xfId="0" applyFont="1" applyFill="1" applyBorder="1" applyAlignment="1">
      <alignment horizontal="right"/>
    </xf>
    <xf numFmtId="9" fontId="0" fillId="0" borderId="0" xfId="0" applyNumberFormat="1" applyFont="1" applyAlignment="1">
      <alignment/>
    </xf>
    <xf numFmtId="4" fontId="0" fillId="0" borderId="0" xfId="21" applyFont="1" applyAlignment="1">
      <alignment/>
    </xf>
    <xf numFmtId="9" fontId="0" fillId="0" borderId="0" xfId="0" applyNumberFormat="1" applyFont="1" applyAlignment="1">
      <alignment horizontal="center"/>
    </xf>
    <xf numFmtId="0" fontId="0" fillId="0" borderId="0" xfId="0" applyFont="1" applyAlignment="1" quotePrefix="1">
      <alignment/>
    </xf>
    <xf numFmtId="179" fontId="0" fillId="0" borderId="0" xfId="0" applyNumberFormat="1" applyFont="1" applyAlignment="1" quotePrefix="1">
      <alignment/>
    </xf>
    <xf numFmtId="9" fontId="0" fillId="0" borderId="0" xfId="27" applyFont="1" applyAlignment="1">
      <alignment/>
    </xf>
    <xf numFmtId="4" fontId="0" fillId="0" borderId="0" xfId="21" applyFont="1" applyAlignment="1" quotePrefix="1">
      <alignment horizontal="center"/>
    </xf>
    <xf numFmtId="179" fontId="0" fillId="0" borderId="0" xfId="0" applyNumberFormat="1" applyFont="1" applyAlignment="1">
      <alignment horizontal="center"/>
    </xf>
    <xf numFmtId="179" fontId="0" fillId="0" borderId="0" xfId="0" applyNumberFormat="1" applyFont="1" applyAlignment="1">
      <alignment/>
    </xf>
    <xf numFmtId="3" fontId="8" fillId="0" borderId="0" xfId="21" applyNumberFormat="1" applyFont="1" applyAlignment="1">
      <alignment horizontal="right"/>
    </xf>
    <xf numFmtId="9" fontId="0" fillId="0" borderId="0" xfId="27" applyFont="1" applyAlignment="1">
      <alignment horizontal="center"/>
    </xf>
    <xf numFmtId="0" fontId="0" fillId="0" borderId="0" xfId="0" applyFont="1" applyAlignment="1">
      <alignment horizontal="justify" wrapText="1"/>
    </xf>
    <xf numFmtId="3" fontId="7" fillId="0" borderId="7" xfId="0" applyNumberFormat="1" applyFont="1" applyBorder="1" applyAlignment="1">
      <alignment horizontal="center" vertical="center" wrapText="1"/>
    </xf>
    <xf numFmtId="0" fontId="33" fillId="0" borderId="0" xfId="25" applyFont="1" applyAlignment="1">
      <alignment horizontal="center" vertical="center"/>
      <protection/>
    </xf>
    <xf numFmtId="0" fontId="21" fillId="0" borderId="0" xfId="25" applyFont="1" applyAlignment="1">
      <alignment horizontal="center" vertical="center"/>
      <protection/>
    </xf>
    <xf numFmtId="0" fontId="13" fillId="0" borderId="0" xfId="25" applyFont="1" applyAlignment="1">
      <alignment horizontal="center" vertical="center"/>
      <protection/>
    </xf>
    <xf numFmtId="0" fontId="21" fillId="0" borderId="0" xfId="25" applyFont="1" applyBorder="1" applyAlignment="1">
      <alignment horizontal="center" vertical="center"/>
      <protection/>
    </xf>
    <xf numFmtId="0" fontId="20" fillId="0" borderId="0" xfId="25" applyFont="1" applyBorder="1" applyAlignment="1">
      <alignment horizontal="center" vertical="center" wrapText="1"/>
      <protection/>
    </xf>
    <xf numFmtId="0" fontId="20" fillId="0" borderId="0" xfId="25" applyFont="1" applyBorder="1" applyAlignment="1">
      <alignment horizontal="center" vertical="center"/>
      <protection/>
    </xf>
    <xf numFmtId="3" fontId="25" fillId="0" borderId="0" xfId="25" applyNumberFormat="1" applyFont="1" applyAlignment="1">
      <alignment horizontal="right" vertical="center"/>
      <protection/>
    </xf>
    <xf numFmtId="3" fontId="7" fillId="2" borderId="10" xfId="0" applyNumberFormat="1" applyFont="1" applyFill="1" applyBorder="1" applyAlignment="1">
      <alignment horizontal="center" vertical="center" textRotation="90" wrapText="1"/>
    </xf>
    <xf numFmtId="3" fontId="7" fillId="2" borderId="5" xfId="0" applyNumberFormat="1" applyFont="1" applyFill="1" applyBorder="1" applyAlignment="1">
      <alignment horizontal="center" vertical="center" textRotation="90" wrapText="1"/>
    </xf>
    <xf numFmtId="0" fontId="0" fillId="0" borderId="13" xfId="0" applyFont="1" applyBorder="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xf>
    <xf numFmtId="0" fontId="0" fillId="0" borderId="0" xfId="0" applyFont="1" applyFill="1" applyAlignment="1">
      <alignment/>
    </xf>
    <xf numFmtId="0" fontId="0" fillId="0" borderId="3" xfId="0" applyFont="1" applyBorder="1" applyAlignment="1">
      <alignment horizontal="center"/>
    </xf>
    <xf numFmtId="3" fontId="7" fillId="0" borderId="2" xfId="0" applyNumberFormat="1" applyFont="1" applyBorder="1" applyAlignment="1">
      <alignment horizontal="center" vertical="center"/>
    </xf>
    <xf numFmtId="3" fontId="7" fillId="0" borderId="13" xfId="0" applyNumberFormat="1" applyFont="1" applyBorder="1" applyAlignment="1">
      <alignment horizontal="center" vertical="center"/>
    </xf>
    <xf numFmtId="3" fontId="7" fillId="0" borderId="6" xfId="0" applyNumberFormat="1" applyFont="1" applyBorder="1" applyAlignment="1">
      <alignment horizontal="center" vertical="center"/>
    </xf>
    <xf numFmtId="3" fontId="7" fillId="2" borderId="4" xfId="0" applyNumberFormat="1" applyFont="1" applyFill="1" applyBorder="1" applyAlignment="1">
      <alignment horizontal="center" vertical="center" textRotation="90" wrapText="1"/>
    </xf>
    <xf numFmtId="0" fontId="24" fillId="0" borderId="3" xfId="0" applyFont="1" applyBorder="1" applyAlignment="1">
      <alignment horizontal="center"/>
    </xf>
    <xf numFmtId="9" fontId="19" fillId="0" borderId="3" xfId="27" applyFont="1" applyBorder="1" applyAlignment="1">
      <alignment horizontal="center"/>
    </xf>
    <xf numFmtId="0" fontId="0" fillId="0" borderId="0" xfId="0" applyFont="1" applyAlignment="1">
      <alignment horizontal="justify"/>
    </xf>
    <xf numFmtId="0" fontId="0" fillId="0" borderId="0" xfId="0" applyFont="1" applyAlignment="1">
      <alignment horizontal="justify" wrapText="1"/>
    </xf>
    <xf numFmtId="0" fontId="0" fillId="0" borderId="0" xfId="0" applyFont="1" applyFill="1" applyAlignment="1">
      <alignment horizontal="justify" wrapText="1"/>
    </xf>
    <xf numFmtId="0" fontId="0" fillId="0" borderId="0" xfId="0" applyFont="1" applyFill="1" applyAlignment="1">
      <alignment horizontal="justify"/>
    </xf>
    <xf numFmtId="0" fontId="0" fillId="7" borderId="0" xfId="0" applyFont="1" applyFill="1" applyAlignment="1">
      <alignment horizontal="justify" wrapText="1"/>
    </xf>
    <xf numFmtId="0" fontId="0" fillId="7" borderId="0" xfId="0" applyFont="1" applyFill="1" applyAlignment="1">
      <alignment horizontal="justify"/>
    </xf>
    <xf numFmtId="0" fontId="6" fillId="0" borderId="0" xfId="0" applyFont="1" applyAlignment="1">
      <alignment horizontal="justify"/>
    </xf>
    <xf numFmtId="0" fontId="0" fillId="0" borderId="0" xfId="0" applyFont="1" applyFill="1" applyAlignment="1">
      <alignment horizontal="justify" vertical="center"/>
    </xf>
    <xf numFmtId="0" fontId="0" fillId="0" borderId="0" xfId="0" applyFont="1" applyAlignment="1">
      <alignment horizontal="justify"/>
    </xf>
    <xf numFmtId="0" fontId="0" fillId="0" borderId="0" xfId="0" applyFont="1" applyFill="1" applyAlignment="1" quotePrefix="1">
      <alignment horizontal="justify" wrapText="1"/>
    </xf>
    <xf numFmtId="0" fontId="0" fillId="0" borderId="0" xfId="0" applyFont="1" applyAlignment="1">
      <alignment horizontal="justify" wrapText="1"/>
    </xf>
    <xf numFmtId="0" fontId="7" fillId="0" borderId="2" xfId="0" applyFont="1" applyBorder="1" applyAlignment="1">
      <alignment horizontal="center"/>
    </xf>
    <xf numFmtId="0" fontId="7" fillId="0" borderId="13" xfId="0" applyFont="1" applyBorder="1" applyAlignment="1">
      <alignment horizontal="center"/>
    </xf>
    <xf numFmtId="0" fontId="6" fillId="0" borderId="0" xfId="0" applyFont="1" applyAlignment="1">
      <alignment horizontal="center" vertical="center"/>
    </xf>
    <xf numFmtId="3" fontId="7" fillId="2" borderId="4" xfId="0" applyNumberFormat="1" applyFont="1" applyFill="1" applyBorder="1" applyAlignment="1">
      <alignment horizontal="center" vertical="center" wrapText="1"/>
    </xf>
    <xf numFmtId="3" fontId="7" fillId="2" borderId="10" xfId="0" applyNumberFormat="1" applyFont="1" applyFill="1" applyBorder="1" applyAlignment="1">
      <alignment horizontal="center" vertical="center"/>
    </xf>
    <xf numFmtId="3" fontId="7" fillId="2" borderId="5" xfId="0" applyNumberFormat="1" applyFont="1" applyFill="1" applyBorder="1" applyAlignment="1">
      <alignment horizontal="center" vertical="center"/>
    </xf>
    <xf numFmtId="3" fontId="6" fillId="0" borderId="7" xfId="0" applyNumberFormat="1" applyFont="1" applyBorder="1" applyAlignment="1">
      <alignment horizontal="center" vertical="center"/>
    </xf>
    <xf numFmtId="3" fontId="6" fillId="0" borderId="8" xfId="0" applyNumberFormat="1" applyFont="1" applyBorder="1" applyAlignment="1">
      <alignment horizontal="center" vertical="center"/>
    </xf>
    <xf numFmtId="3" fontId="6" fillId="0" borderId="14" xfId="0" applyNumberFormat="1" applyFont="1" applyBorder="1" applyAlignment="1">
      <alignment horizontal="center" vertical="center"/>
    </xf>
    <xf numFmtId="3" fontId="6" fillId="0" borderId="9"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15" xfId="0" applyNumberFormat="1" applyFont="1" applyBorder="1" applyAlignment="1">
      <alignment horizontal="center" vertical="center"/>
    </xf>
    <xf numFmtId="3" fontId="7" fillId="0" borderId="7" xfId="0" applyNumberFormat="1" applyFont="1" applyBorder="1" applyAlignment="1">
      <alignment horizontal="center" vertical="center"/>
    </xf>
    <xf numFmtId="3" fontId="7" fillId="0" borderId="8" xfId="0" applyNumberFormat="1" applyFont="1" applyBorder="1" applyAlignment="1">
      <alignment horizontal="center" vertical="center"/>
    </xf>
    <xf numFmtId="3" fontId="7" fillId="0" borderId="14" xfId="0" applyNumberFormat="1" applyFont="1" applyBorder="1" applyAlignment="1">
      <alignment horizontal="center" vertical="center"/>
    </xf>
    <xf numFmtId="3" fontId="7" fillId="0" borderId="11" xfId="0" applyNumberFormat="1" applyFont="1" applyBorder="1" applyAlignment="1">
      <alignment horizontal="center" vertical="center"/>
    </xf>
    <xf numFmtId="3" fontId="7" fillId="0" borderId="12" xfId="0" applyNumberFormat="1" applyFont="1" applyBorder="1" applyAlignment="1">
      <alignment horizontal="center" vertical="center"/>
    </xf>
    <xf numFmtId="3" fontId="7" fillId="0" borderId="16" xfId="0" applyNumberFormat="1" applyFont="1" applyBorder="1" applyAlignment="1">
      <alignment horizontal="center" vertical="center"/>
    </xf>
    <xf numFmtId="171" fontId="13" fillId="0" borderId="0" xfId="25" applyNumberFormat="1" applyFont="1" applyAlignment="1">
      <alignment horizontal="center" vertical="center"/>
      <protection/>
    </xf>
    <xf numFmtId="0" fontId="21" fillId="0" borderId="0" xfId="25" applyFont="1" applyBorder="1" applyAlignment="1">
      <alignment horizontal="left" vertical="center"/>
      <protection/>
    </xf>
    <xf numFmtId="0" fontId="13" fillId="0" borderId="0" xfId="25" applyFont="1" applyAlignment="1">
      <alignment horizontal="center"/>
      <protection/>
    </xf>
    <xf numFmtId="3" fontId="23" fillId="0" borderId="0" xfId="25" applyNumberFormat="1" applyFont="1" applyBorder="1" applyAlignment="1">
      <alignment horizontal="center" vertical="center"/>
      <protection/>
    </xf>
    <xf numFmtId="0" fontId="13" fillId="0" borderId="2" xfId="25" applyFont="1" applyFill="1" applyBorder="1" applyAlignment="1">
      <alignment horizontal="center"/>
      <protection/>
    </xf>
    <xf numFmtId="0" fontId="13" fillId="0" borderId="6" xfId="25" applyFont="1" applyFill="1" applyBorder="1" applyAlignment="1">
      <alignment horizontal="center"/>
      <protection/>
    </xf>
    <xf numFmtId="0" fontId="13" fillId="0" borderId="13" xfId="25" applyFont="1" applyFill="1" applyBorder="1" applyAlignment="1">
      <alignment horizontal="center"/>
      <protection/>
    </xf>
    <xf numFmtId="0" fontId="13" fillId="0" borderId="0" xfId="25" applyFont="1" applyAlignment="1">
      <alignment horizontal="left" vertical="center"/>
      <protection/>
    </xf>
    <xf numFmtId="166" fontId="12" fillId="0" borderId="2" xfId="25" applyNumberFormat="1" applyFont="1" applyBorder="1" applyAlignment="1">
      <alignment horizontal="right" vertical="top"/>
      <protection/>
    </xf>
    <xf numFmtId="166" fontId="12" fillId="0" borderId="6" xfId="25" applyNumberFormat="1" applyFont="1" applyBorder="1" applyAlignment="1">
      <alignment horizontal="right" vertical="top"/>
      <protection/>
    </xf>
    <xf numFmtId="166" fontId="13" fillId="0" borderId="2" xfId="25" applyNumberFormat="1" applyFont="1" applyBorder="1" applyAlignment="1">
      <alignment horizontal="right" vertical="top"/>
      <protection/>
    </xf>
    <xf numFmtId="166" fontId="13" fillId="0" borderId="6" xfId="25" applyNumberFormat="1" applyFont="1" applyBorder="1" applyAlignment="1">
      <alignment horizontal="right" vertical="top"/>
      <protection/>
    </xf>
    <xf numFmtId="166" fontId="12" fillId="0" borderId="2" xfId="25" applyNumberFormat="1" applyFont="1" applyFill="1" applyBorder="1" applyAlignment="1">
      <alignment horizontal="right" vertical="top"/>
      <protection/>
    </xf>
    <xf numFmtId="166" fontId="12" fillId="0" borderId="6" xfId="25" applyNumberFormat="1" applyFont="1" applyFill="1" applyBorder="1" applyAlignment="1">
      <alignment horizontal="right" vertical="top"/>
      <protection/>
    </xf>
    <xf numFmtId="171" fontId="13" fillId="0" borderId="2" xfId="25" applyNumberFormat="1" applyFont="1" applyBorder="1" applyAlignment="1">
      <alignment horizontal="center" vertical="top"/>
      <protection/>
    </xf>
    <xf numFmtId="0" fontId="13" fillId="0" borderId="6" xfId="25" applyFont="1" applyBorder="1" applyAlignment="1">
      <alignment horizontal="center" vertical="top"/>
      <protection/>
    </xf>
    <xf numFmtId="0" fontId="13" fillId="0" borderId="13" xfId="25" applyFont="1" applyBorder="1" applyAlignment="1">
      <alignment horizontal="center" vertical="top"/>
      <protection/>
    </xf>
    <xf numFmtId="0" fontId="13" fillId="0" borderId="7" xfId="25" applyFont="1" applyFill="1" applyBorder="1" applyAlignment="1">
      <alignment horizontal="center" vertical="center" wrapText="1"/>
      <protection/>
    </xf>
    <xf numFmtId="0" fontId="13" fillId="0" borderId="8" xfId="25" applyFont="1" applyFill="1" applyBorder="1" applyAlignment="1">
      <alignment horizontal="center" vertical="center" wrapText="1"/>
      <protection/>
    </xf>
    <xf numFmtId="0" fontId="13" fillId="0" borderId="14" xfId="25" applyFont="1" applyFill="1" applyBorder="1" applyAlignment="1">
      <alignment horizontal="center" vertical="center" wrapText="1"/>
      <protection/>
    </xf>
    <xf numFmtId="0" fontId="13" fillId="0" borderId="9" xfId="25" applyFont="1" applyFill="1" applyBorder="1" applyAlignment="1">
      <alignment horizontal="center" vertical="center" wrapText="1"/>
      <protection/>
    </xf>
    <xf numFmtId="0" fontId="13" fillId="0" borderId="0" xfId="25" applyFont="1" applyFill="1" applyBorder="1" applyAlignment="1">
      <alignment horizontal="center" vertical="center" wrapText="1"/>
      <protection/>
    </xf>
    <xf numFmtId="0" fontId="13" fillId="0" borderId="15" xfId="25" applyFont="1" applyFill="1" applyBorder="1" applyAlignment="1">
      <alignment horizontal="center" vertical="center" wrapText="1"/>
      <protection/>
    </xf>
    <xf numFmtId="0" fontId="13" fillId="0" borderId="11" xfId="25" applyFont="1" applyFill="1" applyBorder="1" applyAlignment="1">
      <alignment horizontal="center" vertical="center" wrapText="1"/>
      <protection/>
    </xf>
    <xf numFmtId="0" fontId="13" fillId="0" borderId="12" xfId="25" applyFont="1" applyFill="1" applyBorder="1" applyAlignment="1">
      <alignment horizontal="center" vertical="center" wrapText="1"/>
      <protection/>
    </xf>
    <xf numFmtId="0" fontId="13" fillId="0" borderId="16" xfId="25" applyFont="1" applyFill="1" applyBorder="1" applyAlignment="1">
      <alignment horizontal="center" vertical="center" wrapText="1"/>
      <protection/>
    </xf>
    <xf numFmtId="0" fontId="34" fillId="0" borderId="0" xfId="25" applyFont="1" applyAlignment="1">
      <alignment horizontal="center" vertical="center"/>
      <protection/>
    </xf>
    <xf numFmtId="0" fontId="12" fillId="0" borderId="0" xfId="25" applyFont="1" applyAlignment="1">
      <alignment horizontal="center" vertical="center"/>
      <protection/>
    </xf>
    <xf numFmtId="3" fontId="13" fillId="0" borderId="0" xfId="0" applyNumberFormat="1" applyFont="1" applyAlignment="1">
      <alignment horizontal="center" vertical="center"/>
    </xf>
    <xf numFmtId="0" fontId="0" fillId="7" borderId="0" xfId="0" applyFont="1" applyFill="1" applyAlignment="1" quotePrefix="1">
      <alignment horizontal="justify" wrapText="1"/>
    </xf>
    <xf numFmtId="0" fontId="0" fillId="0" borderId="0" xfId="0" applyFont="1" applyFill="1" applyAlignment="1">
      <alignment horizontal="left"/>
    </xf>
    <xf numFmtId="0" fontId="0" fillId="0" borderId="0" xfId="0" applyFont="1" applyFill="1" applyAlignment="1" quotePrefix="1">
      <alignment horizontal="left"/>
    </xf>
    <xf numFmtId="0" fontId="0" fillId="0" borderId="4" xfId="0" applyFont="1" applyBorder="1" applyAlignment="1">
      <alignment horizontal="center"/>
    </xf>
    <xf numFmtId="9" fontId="0" fillId="0" borderId="5" xfId="0" applyNumberFormat="1" applyFont="1" applyBorder="1" applyAlignment="1">
      <alignment horizontal="center"/>
    </xf>
    <xf numFmtId="0" fontId="0" fillId="0" borderId="5" xfId="0" applyFont="1" applyBorder="1" applyAlignment="1">
      <alignment horizontal="center"/>
    </xf>
    <xf numFmtId="41" fontId="19" fillId="0" borderId="2" xfId="0" applyNumberFormat="1" applyFont="1" applyBorder="1" applyAlignment="1">
      <alignment/>
    </xf>
    <xf numFmtId="3" fontId="19" fillId="0" borderId="5" xfId="0" applyNumberFormat="1" applyFont="1" applyBorder="1" applyAlignment="1">
      <alignment horizontal="center"/>
    </xf>
    <xf numFmtId="0" fontId="0" fillId="0" borderId="14" xfId="0" applyFont="1" applyBorder="1" applyAlignment="1">
      <alignment horizontal="center"/>
    </xf>
    <xf numFmtId="3" fontId="19" fillId="0" borderId="16" xfId="0" applyNumberFormat="1" applyFont="1" applyBorder="1" applyAlignment="1">
      <alignment horizontal="center"/>
    </xf>
    <xf numFmtId="0" fontId="0" fillId="5" borderId="4" xfId="0" applyFont="1" applyFill="1" applyBorder="1" applyAlignment="1">
      <alignment/>
    </xf>
    <xf numFmtId="0" fontId="0" fillId="5" borderId="5" xfId="0" applyFont="1" applyFill="1" applyBorder="1" applyAlignment="1">
      <alignment/>
    </xf>
  </cellXfs>
  <cellStyles count="19">
    <cellStyle name="Normal" xfId="0"/>
    <cellStyle name="Codice" xfId="15"/>
    <cellStyle name="Hyperlink" xfId="16"/>
    <cellStyle name="Followed Hyperlink" xfId="17"/>
    <cellStyle name="Comma [0]" xfId="18"/>
    <cellStyle name="Currency [0]" xfId="19"/>
    <cellStyle name="Euro" xfId="20"/>
    <cellStyle name="Comma" xfId="21"/>
    <cellStyle name="Migliaia (0)_ 5.1.3" xfId="22"/>
    <cellStyle name="Comma [0]" xfId="23"/>
    <cellStyle name="Normale_Ge-00-cop-indice" xfId="24"/>
    <cellStyle name="Normale_Ge-10-sl_1" xfId="25"/>
    <cellStyle name="Normale_Prova" xfId="26"/>
    <cellStyle name="Percent" xfId="27"/>
    <cellStyle name="Punto" xfId="28"/>
    <cellStyle name="Titoli" xfId="29"/>
    <cellStyle name="Currency" xfId="30"/>
    <cellStyle name="Valuta (0)_ 5.1.3"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21</xdr:row>
      <xdr:rowOff>161925</xdr:rowOff>
    </xdr:from>
    <xdr:to>
      <xdr:col>19</xdr:col>
      <xdr:colOff>0</xdr:colOff>
      <xdr:row>24</xdr:row>
      <xdr:rowOff>19050</xdr:rowOff>
    </xdr:to>
    <xdr:sp>
      <xdr:nvSpPr>
        <xdr:cNvPr id="1" name="AutoShape 1"/>
        <xdr:cNvSpPr>
          <a:spLocks/>
        </xdr:cNvSpPr>
      </xdr:nvSpPr>
      <xdr:spPr>
        <a:xfrm rot="5400000">
          <a:off x="4305300" y="3838575"/>
          <a:ext cx="314325" cy="4476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26</xdr:row>
      <xdr:rowOff>28575</xdr:rowOff>
    </xdr:from>
    <xdr:to>
      <xdr:col>18</xdr:col>
      <xdr:colOff>219075</xdr:colOff>
      <xdr:row>28</xdr:row>
      <xdr:rowOff>9525</xdr:rowOff>
    </xdr:to>
    <xdr:sp>
      <xdr:nvSpPr>
        <xdr:cNvPr id="2" name="AutoShape 2"/>
        <xdr:cNvSpPr>
          <a:spLocks/>
        </xdr:cNvSpPr>
      </xdr:nvSpPr>
      <xdr:spPr>
        <a:xfrm rot="5400000">
          <a:off x="4305300" y="4619625"/>
          <a:ext cx="30480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26</xdr:row>
      <xdr:rowOff>180975</xdr:rowOff>
    </xdr:from>
    <xdr:to>
      <xdr:col>17</xdr:col>
      <xdr:colOff>180975</xdr:colOff>
      <xdr:row>27</xdr:row>
      <xdr:rowOff>76200</xdr:rowOff>
    </xdr:to>
    <xdr:sp>
      <xdr:nvSpPr>
        <xdr:cNvPr id="3" name="Rectangle 3"/>
        <xdr:cNvSpPr>
          <a:spLocks/>
        </xdr:cNvSpPr>
      </xdr:nvSpPr>
      <xdr:spPr>
        <a:xfrm>
          <a:off x="3276600" y="4772025"/>
          <a:ext cx="106680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22</xdr:row>
      <xdr:rowOff>152400</xdr:rowOff>
    </xdr:from>
    <xdr:to>
      <xdr:col>17</xdr:col>
      <xdr:colOff>133350</xdr:colOff>
      <xdr:row>23</xdr:row>
      <xdr:rowOff>66675</xdr:rowOff>
    </xdr:to>
    <xdr:sp>
      <xdr:nvSpPr>
        <xdr:cNvPr id="4" name="Rectangle 4"/>
        <xdr:cNvSpPr>
          <a:spLocks/>
        </xdr:cNvSpPr>
      </xdr:nvSpPr>
      <xdr:spPr>
        <a:xfrm>
          <a:off x="3248025" y="4019550"/>
          <a:ext cx="1047750"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114300</xdr:colOff>
      <xdr:row>12</xdr:row>
      <xdr:rowOff>114300</xdr:rowOff>
    </xdr:from>
    <xdr:to>
      <xdr:col>22</xdr:col>
      <xdr:colOff>114300</xdr:colOff>
      <xdr:row>14</xdr:row>
      <xdr:rowOff>28575</xdr:rowOff>
    </xdr:to>
    <xdr:sp>
      <xdr:nvSpPr>
        <xdr:cNvPr id="5" name="AutoShape 5"/>
        <xdr:cNvSpPr>
          <a:spLocks/>
        </xdr:cNvSpPr>
      </xdr:nvSpPr>
      <xdr:spPr>
        <a:xfrm>
          <a:off x="4962525" y="2047875"/>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66675</xdr:colOff>
      <xdr:row>13</xdr:row>
      <xdr:rowOff>180975</xdr:rowOff>
    </xdr:from>
    <xdr:to>
      <xdr:col>21</xdr:col>
      <xdr:colOff>180975</xdr:colOff>
      <xdr:row>21</xdr:row>
      <xdr:rowOff>0</xdr:rowOff>
    </xdr:to>
    <xdr:sp>
      <xdr:nvSpPr>
        <xdr:cNvPr id="6" name="Rectangle 6"/>
        <xdr:cNvSpPr>
          <a:spLocks/>
        </xdr:cNvSpPr>
      </xdr:nvSpPr>
      <xdr:spPr>
        <a:xfrm>
          <a:off x="5143500" y="2314575"/>
          <a:ext cx="114300" cy="1362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24</xdr:row>
      <xdr:rowOff>142875</xdr:rowOff>
    </xdr:from>
    <xdr:to>
      <xdr:col>46</xdr:col>
      <xdr:colOff>66675</xdr:colOff>
      <xdr:row>25</xdr:row>
      <xdr:rowOff>104775</xdr:rowOff>
    </xdr:to>
    <xdr:sp>
      <xdr:nvSpPr>
        <xdr:cNvPr id="7" name="Rectangle 7"/>
        <xdr:cNvSpPr>
          <a:spLocks/>
        </xdr:cNvSpPr>
      </xdr:nvSpPr>
      <xdr:spPr>
        <a:xfrm>
          <a:off x="7134225" y="4410075"/>
          <a:ext cx="37242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180975</xdr:colOff>
      <xdr:row>24</xdr:row>
      <xdr:rowOff>9525</xdr:rowOff>
    </xdr:from>
    <xdr:to>
      <xdr:col>47</xdr:col>
      <xdr:colOff>9525</xdr:colOff>
      <xdr:row>26</xdr:row>
      <xdr:rowOff>66675</xdr:rowOff>
    </xdr:to>
    <xdr:sp>
      <xdr:nvSpPr>
        <xdr:cNvPr id="8" name="AutoShape 8"/>
        <xdr:cNvSpPr>
          <a:spLocks/>
        </xdr:cNvSpPr>
      </xdr:nvSpPr>
      <xdr:spPr>
        <a:xfrm rot="5400000">
          <a:off x="10744200" y="4276725"/>
          <a:ext cx="28575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18</xdr:row>
      <xdr:rowOff>180975</xdr:rowOff>
    </xdr:from>
    <xdr:to>
      <xdr:col>21</xdr:col>
      <xdr:colOff>123825</xdr:colOff>
      <xdr:row>19</xdr:row>
      <xdr:rowOff>104775</xdr:rowOff>
    </xdr:to>
    <xdr:sp>
      <xdr:nvSpPr>
        <xdr:cNvPr id="9" name="Rectangle 9"/>
        <xdr:cNvSpPr>
          <a:spLocks/>
        </xdr:cNvSpPr>
      </xdr:nvSpPr>
      <xdr:spPr>
        <a:xfrm>
          <a:off x="3857625" y="3267075"/>
          <a:ext cx="134302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13</xdr:row>
      <xdr:rowOff>190500</xdr:rowOff>
    </xdr:from>
    <xdr:to>
      <xdr:col>16</xdr:col>
      <xdr:colOff>28575</xdr:colOff>
      <xdr:row>19</xdr:row>
      <xdr:rowOff>95250</xdr:rowOff>
    </xdr:to>
    <xdr:sp>
      <xdr:nvSpPr>
        <xdr:cNvPr id="10" name="Rectangle 10"/>
        <xdr:cNvSpPr>
          <a:spLocks/>
        </xdr:cNvSpPr>
      </xdr:nvSpPr>
      <xdr:spPr>
        <a:xfrm>
          <a:off x="3848100" y="2324100"/>
          <a:ext cx="114300" cy="10572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12</xdr:row>
      <xdr:rowOff>104775</xdr:rowOff>
    </xdr:from>
    <xdr:to>
      <xdr:col>16</xdr:col>
      <xdr:colOff>200025</xdr:colOff>
      <xdr:row>14</xdr:row>
      <xdr:rowOff>19050</xdr:rowOff>
    </xdr:to>
    <xdr:sp>
      <xdr:nvSpPr>
        <xdr:cNvPr id="11" name="AutoShape 11"/>
        <xdr:cNvSpPr>
          <a:spLocks/>
        </xdr:cNvSpPr>
      </xdr:nvSpPr>
      <xdr:spPr>
        <a:xfrm>
          <a:off x="3676650" y="2038350"/>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22</xdr:row>
      <xdr:rowOff>28575</xdr:rowOff>
    </xdr:from>
    <xdr:to>
      <xdr:col>31</xdr:col>
      <xdr:colOff>200025</xdr:colOff>
      <xdr:row>25</xdr:row>
      <xdr:rowOff>85725</xdr:rowOff>
    </xdr:to>
    <xdr:sp>
      <xdr:nvSpPr>
        <xdr:cNvPr id="12" name="Rectangle 12"/>
        <xdr:cNvSpPr>
          <a:spLocks/>
        </xdr:cNvSpPr>
      </xdr:nvSpPr>
      <xdr:spPr>
        <a:xfrm>
          <a:off x="7448550" y="3895725"/>
          <a:ext cx="114300" cy="6191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22</xdr:row>
      <xdr:rowOff>28575</xdr:rowOff>
    </xdr:from>
    <xdr:to>
      <xdr:col>46</xdr:col>
      <xdr:colOff>104775</xdr:colOff>
      <xdr:row>22</xdr:row>
      <xdr:rowOff>152400</xdr:rowOff>
    </xdr:to>
    <xdr:sp>
      <xdr:nvSpPr>
        <xdr:cNvPr id="13" name="Rectangle 13"/>
        <xdr:cNvSpPr>
          <a:spLocks/>
        </xdr:cNvSpPr>
      </xdr:nvSpPr>
      <xdr:spPr>
        <a:xfrm>
          <a:off x="7448550" y="3895725"/>
          <a:ext cx="344805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161925</xdr:colOff>
      <xdr:row>21</xdr:row>
      <xdr:rowOff>85725</xdr:rowOff>
    </xdr:from>
    <xdr:to>
      <xdr:col>46</xdr:col>
      <xdr:colOff>219075</xdr:colOff>
      <xdr:row>23</xdr:row>
      <xdr:rowOff>66675</xdr:rowOff>
    </xdr:to>
    <xdr:sp>
      <xdr:nvSpPr>
        <xdr:cNvPr id="14" name="AutoShape 14"/>
        <xdr:cNvSpPr>
          <a:spLocks/>
        </xdr:cNvSpPr>
      </xdr:nvSpPr>
      <xdr:spPr>
        <a:xfrm rot="5400000">
          <a:off x="10725150" y="3762375"/>
          <a:ext cx="285750" cy="3714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21</xdr:row>
      <xdr:rowOff>161925</xdr:rowOff>
    </xdr:from>
    <xdr:to>
      <xdr:col>19</xdr:col>
      <xdr:colOff>0</xdr:colOff>
      <xdr:row>24</xdr:row>
      <xdr:rowOff>19050</xdr:rowOff>
    </xdr:to>
    <xdr:sp>
      <xdr:nvSpPr>
        <xdr:cNvPr id="1" name="AutoShape 1"/>
        <xdr:cNvSpPr>
          <a:spLocks/>
        </xdr:cNvSpPr>
      </xdr:nvSpPr>
      <xdr:spPr>
        <a:xfrm rot="5400000">
          <a:off x="4305300" y="3838575"/>
          <a:ext cx="314325" cy="4476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26</xdr:row>
      <xdr:rowOff>28575</xdr:rowOff>
    </xdr:from>
    <xdr:to>
      <xdr:col>18</xdr:col>
      <xdr:colOff>219075</xdr:colOff>
      <xdr:row>28</xdr:row>
      <xdr:rowOff>9525</xdr:rowOff>
    </xdr:to>
    <xdr:sp>
      <xdr:nvSpPr>
        <xdr:cNvPr id="2" name="AutoShape 2"/>
        <xdr:cNvSpPr>
          <a:spLocks/>
        </xdr:cNvSpPr>
      </xdr:nvSpPr>
      <xdr:spPr>
        <a:xfrm rot="5400000">
          <a:off x="4305300" y="4619625"/>
          <a:ext cx="30480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26</xdr:row>
      <xdr:rowOff>180975</xdr:rowOff>
    </xdr:from>
    <xdr:to>
      <xdr:col>17</xdr:col>
      <xdr:colOff>180975</xdr:colOff>
      <xdr:row>27</xdr:row>
      <xdr:rowOff>76200</xdr:rowOff>
    </xdr:to>
    <xdr:sp>
      <xdr:nvSpPr>
        <xdr:cNvPr id="3" name="Rectangle 3"/>
        <xdr:cNvSpPr>
          <a:spLocks/>
        </xdr:cNvSpPr>
      </xdr:nvSpPr>
      <xdr:spPr>
        <a:xfrm>
          <a:off x="3276600" y="4772025"/>
          <a:ext cx="106680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22</xdr:row>
      <xdr:rowOff>152400</xdr:rowOff>
    </xdr:from>
    <xdr:to>
      <xdr:col>17</xdr:col>
      <xdr:colOff>133350</xdr:colOff>
      <xdr:row>23</xdr:row>
      <xdr:rowOff>66675</xdr:rowOff>
    </xdr:to>
    <xdr:sp>
      <xdr:nvSpPr>
        <xdr:cNvPr id="4" name="Rectangle 4"/>
        <xdr:cNvSpPr>
          <a:spLocks/>
        </xdr:cNvSpPr>
      </xdr:nvSpPr>
      <xdr:spPr>
        <a:xfrm>
          <a:off x="3248025" y="4019550"/>
          <a:ext cx="1047750"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114300</xdr:colOff>
      <xdr:row>12</xdr:row>
      <xdr:rowOff>114300</xdr:rowOff>
    </xdr:from>
    <xdr:to>
      <xdr:col>22</xdr:col>
      <xdr:colOff>114300</xdr:colOff>
      <xdr:row>14</xdr:row>
      <xdr:rowOff>28575</xdr:rowOff>
    </xdr:to>
    <xdr:sp>
      <xdr:nvSpPr>
        <xdr:cNvPr id="5" name="AutoShape 5"/>
        <xdr:cNvSpPr>
          <a:spLocks/>
        </xdr:cNvSpPr>
      </xdr:nvSpPr>
      <xdr:spPr>
        <a:xfrm>
          <a:off x="4962525" y="2047875"/>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66675</xdr:colOff>
      <xdr:row>13</xdr:row>
      <xdr:rowOff>180975</xdr:rowOff>
    </xdr:from>
    <xdr:to>
      <xdr:col>21</xdr:col>
      <xdr:colOff>180975</xdr:colOff>
      <xdr:row>21</xdr:row>
      <xdr:rowOff>0</xdr:rowOff>
    </xdr:to>
    <xdr:sp>
      <xdr:nvSpPr>
        <xdr:cNvPr id="6" name="Rectangle 6"/>
        <xdr:cNvSpPr>
          <a:spLocks/>
        </xdr:cNvSpPr>
      </xdr:nvSpPr>
      <xdr:spPr>
        <a:xfrm>
          <a:off x="5143500" y="2314575"/>
          <a:ext cx="114300" cy="1362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24</xdr:row>
      <xdr:rowOff>142875</xdr:rowOff>
    </xdr:from>
    <xdr:to>
      <xdr:col>46</xdr:col>
      <xdr:colOff>66675</xdr:colOff>
      <xdr:row>25</xdr:row>
      <xdr:rowOff>104775</xdr:rowOff>
    </xdr:to>
    <xdr:sp>
      <xdr:nvSpPr>
        <xdr:cNvPr id="7" name="Rectangle 7"/>
        <xdr:cNvSpPr>
          <a:spLocks/>
        </xdr:cNvSpPr>
      </xdr:nvSpPr>
      <xdr:spPr>
        <a:xfrm>
          <a:off x="7134225" y="4410075"/>
          <a:ext cx="37242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180975</xdr:colOff>
      <xdr:row>24</xdr:row>
      <xdr:rowOff>9525</xdr:rowOff>
    </xdr:from>
    <xdr:to>
      <xdr:col>47</xdr:col>
      <xdr:colOff>9525</xdr:colOff>
      <xdr:row>26</xdr:row>
      <xdr:rowOff>66675</xdr:rowOff>
    </xdr:to>
    <xdr:sp>
      <xdr:nvSpPr>
        <xdr:cNvPr id="8" name="AutoShape 8"/>
        <xdr:cNvSpPr>
          <a:spLocks/>
        </xdr:cNvSpPr>
      </xdr:nvSpPr>
      <xdr:spPr>
        <a:xfrm rot="5400000">
          <a:off x="10744200" y="4276725"/>
          <a:ext cx="28575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18</xdr:row>
      <xdr:rowOff>180975</xdr:rowOff>
    </xdr:from>
    <xdr:to>
      <xdr:col>21</xdr:col>
      <xdr:colOff>123825</xdr:colOff>
      <xdr:row>19</xdr:row>
      <xdr:rowOff>104775</xdr:rowOff>
    </xdr:to>
    <xdr:sp>
      <xdr:nvSpPr>
        <xdr:cNvPr id="9" name="Rectangle 9"/>
        <xdr:cNvSpPr>
          <a:spLocks/>
        </xdr:cNvSpPr>
      </xdr:nvSpPr>
      <xdr:spPr>
        <a:xfrm>
          <a:off x="3857625" y="3267075"/>
          <a:ext cx="134302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13</xdr:row>
      <xdr:rowOff>190500</xdr:rowOff>
    </xdr:from>
    <xdr:to>
      <xdr:col>16</xdr:col>
      <xdr:colOff>28575</xdr:colOff>
      <xdr:row>19</xdr:row>
      <xdr:rowOff>95250</xdr:rowOff>
    </xdr:to>
    <xdr:sp>
      <xdr:nvSpPr>
        <xdr:cNvPr id="10" name="Rectangle 10"/>
        <xdr:cNvSpPr>
          <a:spLocks/>
        </xdr:cNvSpPr>
      </xdr:nvSpPr>
      <xdr:spPr>
        <a:xfrm>
          <a:off x="3848100" y="2324100"/>
          <a:ext cx="114300" cy="10572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12</xdr:row>
      <xdr:rowOff>104775</xdr:rowOff>
    </xdr:from>
    <xdr:to>
      <xdr:col>16</xdr:col>
      <xdr:colOff>200025</xdr:colOff>
      <xdr:row>14</xdr:row>
      <xdr:rowOff>19050</xdr:rowOff>
    </xdr:to>
    <xdr:sp>
      <xdr:nvSpPr>
        <xdr:cNvPr id="11" name="AutoShape 11"/>
        <xdr:cNvSpPr>
          <a:spLocks/>
        </xdr:cNvSpPr>
      </xdr:nvSpPr>
      <xdr:spPr>
        <a:xfrm>
          <a:off x="3676650" y="2038350"/>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22</xdr:row>
      <xdr:rowOff>28575</xdr:rowOff>
    </xdr:from>
    <xdr:to>
      <xdr:col>31</xdr:col>
      <xdr:colOff>200025</xdr:colOff>
      <xdr:row>25</xdr:row>
      <xdr:rowOff>85725</xdr:rowOff>
    </xdr:to>
    <xdr:sp>
      <xdr:nvSpPr>
        <xdr:cNvPr id="12" name="Rectangle 12"/>
        <xdr:cNvSpPr>
          <a:spLocks/>
        </xdr:cNvSpPr>
      </xdr:nvSpPr>
      <xdr:spPr>
        <a:xfrm>
          <a:off x="7448550" y="3895725"/>
          <a:ext cx="114300" cy="6191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22</xdr:row>
      <xdr:rowOff>28575</xdr:rowOff>
    </xdr:from>
    <xdr:to>
      <xdr:col>46</xdr:col>
      <xdr:colOff>104775</xdr:colOff>
      <xdr:row>22</xdr:row>
      <xdr:rowOff>152400</xdr:rowOff>
    </xdr:to>
    <xdr:sp>
      <xdr:nvSpPr>
        <xdr:cNvPr id="13" name="Rectangle 13"/>
        <xdr:cNvSpPr>
          <a:spLocks/>
        </xdr:cNvSpPr>
      </xdr:nvSpPr>
      <xdr:spPr>
        <a:xfrm>
          <a:off x="7448550" y="3895725"/>
          <a:ext cx="344805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161925</xdr:colOff>
      <xdr:row>21</xdr:row>
      <xdr:rowOff>85725</xdr:rowOff>
    </xdr:from>
    <xdr:to>
      <xdr:col>46</xdr:col>
      <xdr:colOff>219075</xdr:colOff>
      <xdr:row>23</xdr:row>
      <xdr:rowOff>66675</xdr:rowOff>
    </xdr:to>
    <xdr:sp>
      <xdr:nvSpPr>
        <xdr:cNvPr id="14" name="AutoShape 14"/>
        <xdr:cNvSpPr>
          <a:spLocks/>
        </xdr:cNvSpPr>
      </xdr:nvSpPr>
      <xdr:spPr>
        <a:xfrm rot="5400000">
          <a:off x="10725150" y="3762375"/>
          <a:ext cx="285750" cy="3714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61</xdr:row>
      <xdr:rowOff>161925</xdr:rowOff>
    </xdr:from>
    <xdr:to>
      <xdr:col>19</xdr:col>
      <xdr:colOff>0</xdr:colOff>
      <xdr:row>64</xdr:row>
      <xdr:rowOff>19050</xdr:rowOff>
    </xdr:to>
    <xdr:sp>
      <xdr:nvSpPr>
        <xdr:cNvPr id="15" name="AutoShape 15"/>
        <xdr:cNvSpPr>
          <a:spLocks/>
        </xdr:cNvSpPr>
      </xdr:nvSpPr>
      <xdr:spPr>
        <a:xfrm rot="5400000">
          <a:off x="4305300" y="11430000"/>
          <a:ext cx="314325" cy="4476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66</xdr:row>
      <xdr:rowOff>28575</xdr:rowOff>
    </xdr:from>
    <xdr:to>
      <xdr:col>18</xdr:col>
      <xdr:colOff>219075</xdr:colOff>
      <xdr:row>68</xdr:row>
      <xdr:rowOff>9525</xdr:rowOff>
    </xdr:to>
    <xdr:sp>
      <xdr:nvSpPr>
        <xdr:cNvPr id="16" name="AutoShape 16"/>
        <xdr:cNvSpPr>
          <a:spLocks/>
        </xdr:cNvSpPr>
      </xdr:nvSpPr>
      <xdr:spPr>
        <a:xfrm rot="5400000">
          <a:off x="4305300" y="12211050"/>
          <a:ext cx="30480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66</xdr:row>
      <xdr:rowOff>180975</xdr:rowOff>
    </xdr:from>
    <xdr:to>
      <xdr:col>17</xdr:col>
      <xdr:colOff>180975</xdr:colOff>
      <xdr:row>67</xdr:row>
      <xdr:rowOff>76200</xdr:rowOff>
    </xdr:to>
    <xdr:sp>
      <xdr:nvSpPr>
        <xdr:cNvPr id="17" name="Rectangle 17"/>
        <xdr:cNvSpPr>
          <a:spLocks/>
        </xdr:cNvSpPr>
      </xdr:nvSpPr>
      <xdr:spPr>
        <a:xfrm>
          <a:off x="3276600" y="12363450"/>
          <a:ext cx="106680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62</xdr:row>
      <xdr:rowOff>152400</xdr:rowOff>
    </xdr:from>
    <xdr:to>
      <xdr:col>17</xdr:col>
      <xdr:colOff>133350</xdr:colOff>
      <xdr:row>63</xdr:row>
      <xdr:rowOff>66675</xdr:rowOff>
    </xdr:to>
    <xdr:sp>
      <xdr:nvSpPr>
        <xdr:cNvPr id="18" name="Rectangle 18"/>
        <xdr:cNvSpPr>
          <a:spLocks/>
        </xdr:cNvSpPr>
      </xdr:nvSpPr>
      <xdr:spPr>
        <a:xfrm>
          <a:off x="3248025" y="11610975"/>
          <a:ext cx="1047750"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114300</xdr:colOff>
      <xdr:row>52</xdr:row>
      <xdr:rowOff>114300</xdr:rowOff>
    </xdr:from>
    <xdr:to>
      <xdr:col>22</xdr:col>
      <xdr:colOff>114300</xdr:colOff>
      <xdr:row>54</xdr:row>
      <xdr:rowOff>28575</xdr:rowOff>
    </xdr:to>
    <xdr:sp>
      <xdr:nvSpPr>
        <xdr:cNvPr id="19" name="AutoShape 19"/>
        <xdr:cNvSpPr>
          <a:spLocks/>
        </xdr:cNvSpPr>
      </xdr:nvSpPr>
      <xdr:spPr>
        <a:xfrm>
          <a:off x="4962525" y="9639300"/>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66675</xdr:colOff>
      <xdr:row>53</xdr:row>
      <xdr:rowOff>180975</xdr:rowOff>
    </xdr:from>
    <xdr:to>
      <xdr:col>21</xdr:col>
      <xdr:colOff>180975</xdr:colOff>
      <xdr:row>61</xdr:row>
      <xdr:rowOff>0</xdr:rowOff>
    </xdr:to>
    <xdr:sp>
      <xdr:nvSpPr>
        <xdr:cNvPr id="20" name="Rectangle 20"/>
        <xdr:cNvSpPr>
          <a:spLocks/>
        </xdr:cNvSpPr>
      </xdr:nvSpPr>
      <xdr:spPr>
        <a:xfrm>
          <a:off x="5143500" y="9906000"/>
          <a:ext cx="114300" cy="1362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64</xdr:row>
      <xdr:rowOff>142875</xdr:rowOff>
    </xdr:from>
    <xdr:to>
      <xdr:col>46</xdr:col>
      <xdr:colOff>66675</xdr:colOff>
      <xdr:row>65</xdr:row>
      <xdr:rowOff>104775</xdr:rowOff>
    </xdr:to>
    <xdr:sp>
      <xdr:nvSpPr>
        <xdr:cNvPr id="21" name="Rectangle 21"/>
        <xdr:cNvSpPr>
          <a:spLocks/>
        </xdr:cNvSpPr>
      </xdr:nvSpPr>
      <xdr:spPr>
        <a:xfrm>
          <a:off x="7134225" y="12001500"/>
          <a:ext cx="37242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180975</xdr:colOff>
      <xdr:row>64</xdr:row>
      <xdr:rowOff>9525</xdr:rowOff>
    </xdr:from>
    <xdr:to>
      <xdr:col>47</xdr:col>
      <xdr:colOff>9525</xdr:colOff>
      <xdr:row>66</xdr:row>
      <xdr:rowOff>66675</xdr:rowOff>
    </xdr:to>
    <xdr:sp>
      <xdr:nvSpPr>
        <xdr:cNvPr id="22" name="AutoShape 22"/>
        <xdr:cNvSpPr>
          <a:spLocks/>
        </xdr:cNvSpPr>
      </xdr:nvSpPr>
      <xdr:spPr>
        <a:xfrm rot="5400000">
          <a:off x="10744200" y="11868150"/>
          <a:ext cx="28575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58</xdr:row>
      <xdr:rowOff>180975</xdr:rowOff>
    </xdr:from>
    <xdr:to>
      <xdr:col>21</xdr:col>
      <xdr:colOff>123825</xdr:colOff>
      <xdr:row>59</xdr:row>
      <xdr:rowOff>104775</xdr:rowOff>
    </xdr:to>
    <xdr:sp>
      <xdr:nvSpPr>
        <xdr:cNvPr id="23" name="Rectangle 23"/>
        <xdr:cNvSpPr>
          <a:spLocks/>
        </xdr:cNvSpPr>
      </xdr:nvSpPr>
      <xdr:spPr>
        <a:xfrm>
          <a:off x="3857625" y="10858500"/>
          <a:ext cx="134302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53</xdr:row>
      <xdr:rowOff>190500</xdr:rowOff>
    </xdr:from>
    <xdr:to>
      <xdr:col>16</xdr:col>
      <xdr:colOff>28575</xdr:colOff>
      <xdr:row>59</xdr:row>
      <xdr:rowOff>95250</xdr:rowOff>
    </xdr:to>
    <xdr:sp>
      <xdr:nvSpPr>
        <xdr:cNvPr id="24" name="Rectangle 24"/>
        <xdr:cNvSpPr>
          <a:spLocks/>
        </xdr:cNvSpPr>
      </xdr:nvSpPr>
      <xdr:spPr>
        <a:xfrm>
          <a:off x="3848100" y="9915525"/>
          <a:ext cx="114300" cy="10572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52</xdr:row>
      <xdr:rowOff>104775</xdr:rowOff>
    </xdr:from>
    <xdr:to>
      <xdr:col>16</xdr:col>
      <xdr:colOff>200025</xdr:colOff>
      <xdr:row>54</xdr:row>
      <xdr:rowOff>19050</xdr:rowOff>
    </xdr:to>
    <xdr:sp>
      <xdr:nvSpPr>
        <xdr:cNvPr id="25" name="AutoShape 25"/>
        <xdr:cNvSpPr>
          <a:spLocks/>
        </xdr:cNvSpPr>
      </xdr:nvSpPr>
      <xdr:spPr>
        <a:xfrm>
          <a:off x="3676650" y="9629775"/>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62</xdr:row>
      <xdr:rowOff>28575</xdr:rowOff>
    </xdr:from>
    <xdr:to>
      <xdr:col>31</xdr:col>
      <xdr:colOff>200025</xdr:colOff>
      <xdr:row>65</xdr:row>
      <xdr:rowOff>85725</xdr:rowOff>
    </xdr:to>
    <xdr:sp>
      <xdr:nvSpPr>
        <xdr:cNvPr id="26" name="Rectangle 26"/>
        <xdr:cNvSpPr>
          <a:spLocks/>
        </xdr:cNvSpPr>
      </xdr:nvSpPr>
      <xdr:spPr>
        <a:xfrm>
          <a:off x="7448550" y="11487150"/>
          <a:ext cx="114300" cy="6191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62</xdr:row>
      <xdr:rowOff>28575</xdr:rowOff>
    </xdr:from>
    <xdr:to>
      <xdr:col>46</xdr:col>
      <xdr:colOff>104775</xdr:colOff>
      <xdr:row>62</xdr:row>
      <xdr:rowOff>152400</xdr:rowOff>
    </xdr:to>
    <xdr:sp>
      <xdr:nvSpPr>
        <xdr:cNvPr id="27" name="Rectangle 27"/>
        <xdr:cNvSpPr>
          <a:spLocks/>
        </xdr:cNvSpPr>
      </xdr:nvSpPr>
      <xdr:spPr>
        <a:xfrm>
          <a:off x="7448550" y="11487150"/>
          <a:ext cx="344805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161925</xdr:colOff>
      <xdr:row>61</xdr:row>
      <xdr:rowOff>85725</xdr:rowOff>
    </xdr:from>
    <xdr:to>
      <xdr:col>46</xdr:col>
      <xdr:colOff>219075</xdr:colOff>
      <xdr:row>63</xdr:row>
      <xdr:rowOff>66675</xdr:rowOff>
    </xdr:to>
    <xdr:sp>
      <xdr:nvSpPr>
        <xdr:cNvPr id="28" name="AutoShape 28"/>
        <xdr:cNvSpPr>
          <a:spLocks/>
        </xdr:cNvSpPr>
      </xdr:nvSpPr>
      <xdr:spPr>
        <a:xfrm rot="5400000">
          <a:off x="10725150" y="11353800"/>
          <a:ext cx="285750" cy="3714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21</xdr:row>
      <xdr:rowOff>161925</xdr:rowOff>
    </xdr:from>
    <xdr:to>
      <xdr:col>19</xdr:col>
      <xdr:colOff>0</xdr:colOff>
      <xdr:row>24</xdr:row>
      <xdr:rowOff>19050</xdr:rowOff>
    </xdr:to>
    <xdr:sp>
      <xdr:nvSpPr>
        <xdr:cNvPr id="1" name="AutoShape 1"/>
        <xdr:cNvSpPr>
          <a:spLocks/>
        </xdr:cNvSpPr>
      </xdr:nvSpPr>
      <xdr:spPr>
        <a:xfrm rot="5400000">
          <a:off x="4305300" y="3838575"/>
          <a:ext cx="314325" cy="4476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26</xdr:row>
      <xdr:rowOff>28575</xdr:rowOff>
    </xdr:from>
    <xdr:to>
      <xdr:col>18</xdr:col>
      <xdr:colOff>219075</xdr:colOff>
      <xdr:row>28</xdr:row>
      <xdr:rowOff>9525</xdr:rowOff>
    </xdr:to>
    <xdr:sp>
      <xdr:nvSpPr>
        <xdr:cNvPr id="2" name="AutoShape 2"/>
        <xdr:cNvSpPr>
          <a:spLocks/>
        </xdr:cNvSpPr>
      </xdr:nvSpPr>
      <xdr:spPr>
        <a:xfrm rot="5400000">
          <a:off x="4305300" y="4619625"/>
          <a:ext cx="30480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26</xdr:row>
      <xdr:rowOff>180975</xdr:rowOff>
    </xdr:from>
    <xdr:to>
      <xdr:col>17</xdr:col>
      <xdr:colOff>180975</xdr:colOff>
      <xdr:row>27</xdr:row>
      <xdr:rowOff>76200</xdr:rowOff>
    </xdr:to>
    <xdr:sp>
      <xdr:nvSpPr>
        <xdr:cNvPr id="3" name="Rectangle 3"/>
        <xdr:cNvSpPr>
          <a:spLocks/>
        </xdr:cNvSpPr>
      </xdr:nvSpPr>
      <xdr:spPr>
        <a:xfrm>
          <a:off x="3276600" y="4772025"/>
          <a:ext cx="106680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22</xdr:row>
      <xdr:rowOff>152400</xdr:rowOff>
    </xdr:from>
    <xdr:to>
      <xdr:col>17</xdr:col>
      <xdr:colOff>133350</xdr:colOff>
      <xdr:row>23</xdr:row>
      <xdr:rowOff>66675</xdr:rowOff>
    </xdr:to>
    <xdr:sp>
      <xdr:nvSpPr>
        <xdr:cNvPr id="4" name="Rectangle 4"/>
        <xdr:cNvSpPr>
          <a:spLocks/>
        </xdr:cNvSpPr>
      </xdr:nvSpPr>
      <xdr:spPr>
        <a:xfrm>
          <a:off x="3248025" y="4019550"/>
          <a:ext cx="1047750"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114300</xdr:colOff>
      <xdr:row>12</xdr:row>
      <xdr:rowOff>114300</xdr:rowOff>
    </xdr:from>
    <xdr:to>
      <xdr:col>22</xdr:col>
      <xdr:colOff>114300</xdr:colOff>
      <xdr:row>14</xdr:row>
      <xdr:rowOff>28575</xdr:rowOff>
    </xdr:to>
    <xdr:sp>
      <xdr:nvSpPr>
        <xdr:cNvPr id="5" name="AutoShape 5"/>
        <xdr:cNvSpPr>
          <a:spLocks/>
        </xdr:cNvSpPr>
      </xdr:nvSpPr>
      <xdr:spPr>
        <a:xfrm>
          <a:off x="4962525" y="2047875"/>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66675</xdr:colOff>
      <xdr:row>13</xdr:row>
      <xdr:rowOff>180975</xdr:rowOff>
    </xdr:from>
    <xdr:to>
      <xdr:col>21</xdr:col>
      <xdr:colOff>180975</xdr:colOff>
      <xdr:row>21</xdr:row>
      <xdr:rowOff>0</xdr:rowOff>
    </xdr:to>
    <xdr:sp>
      <xdr:nvSpPr>
        <xdr:cNvPr id="6" name="Rectangle 6"/>
        <xdr:cNvSpPr>
          <a:spLocks/>
        </xdr:cNvSpPr>
      </xdr:nvSpPr>
      <xdr:spPr>
        <a:xfrm>
          <a:off x="5143500" y="2314575"/>
          <a:ext cx="114300" cy="1362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24</xdr:row>
      <xdr:rowOff>142875</xdr:rowOff>
    </xdr:from>
    <xdr:to>
      <xdr:col>46</xdr:col>
      <xdr:colOff>66675</xdr:colOff>
      <xdr:row>25</xdr:row>
      <xdr:rowOff>104775</xdr:rowOff>
    </xdr:to>
    <xdr:sp>
      <xdr:nvSpPr>
        <xdr:cNvPr id="7" name="Rectangle 7"/>
        <xdr:cNvSpPr>
          <a:spLocks/>
        </xdr:cNvSpPr>
      </xdr:nvSpPr>
      <xdr:spPr>
        <a:xfrm>
          <a:off x="7134225" y="4410075"/>
          <a:ext cx="37242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180975</xdr:colOff>
      <xdr:row>24</xdr:row>
      <xdr:rowOff>9525</xdr:rowOff>
    </xdr:from>
    <xdr:to>
      <xdr:col>47</xdr:col>
      <xdr:colOff>9525</xdr:colOff>
      <xdr:row>26</xdr:row>
      <xdr:rowOff>66675</xdr:rowOff>
    </xdr:to>
    <xdr:sp>
      <xdr:nvSpPr>
        <xdr:cNvPr id="8" name="AutoShape 8"/>
        <xdr:cNvSpPr>
          <a:spLocks/>
        </xdr:cNvSpPr>
      </xdr:nvSpPr>
      <xdr:spPr>
        <a:xfrm rot="5400000">
          <a:off x="10744200" y="4276725"/>
          <a:ext cx="28575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18</xdr:row>
      <xdr:rowOff>180975</xdr:rowOff>
    </xdr:from>
    <xdr:to>
      <xdr:col>21</xdr:col>
      <xdr:colOff>123825</xdr:colOff>
      <xdr:row>19</xdr:row>
      <xdr:rowOff>104775</xdr:rowOff>
    </xdr:to>
    <xdr:sp>
      <xdr:nvSpPr>
        <xdr:cNvPr id="9" name="Rectangle 9"/>
        <xdr:cNvSpPr>
          <a:spLocks/>
        </xdr:cNvSpPr>
      </xdr:nvSpPr>
      <xdr:spPr>
        <a:xfrm>
          <a:off x="3857625" y="3267075"/>
          <a:ext cx="134302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13</xdr:row>
      <xdr:rowOff>190500</xdr:rowOff>
    </xdr:from>
    <xdr:to>
      <xdr:col>16</xdr:col>
      <xdr:colOff>28575</xdr:colOff>
      <xdr:row>19</xdr:row>
      <xdr:rowOff>95250</xdr:rowOff>
    </xdr:to>
    <xdr:sp>
      <xdr:nvSpPr>
        <xdr:cNvPr id="10" name="Rectangle 10"/>
        <xdr:cNvSpPr>
          <a:spLocks/>
        </xdr:cNvSpPr>
      </xdr:nvSpPr>
      <xdr:spPr>
        <a:xfrm>
          <a:off x="3848100" y="2324100"/>
          <a:ext cx="114300" cy="10572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12</xdr:row>
      <xdr:rowOff>104775</xdr:rowOff>
    </xdr:from>
    <xdr:to>
      <xdr:col>16</xdr:col>
      <xdr:colOff>200025</xdr:colOff>
      <xdr:row>14</xdr:row>
      <xdr:rowOff>19050</xdr:rowOff>
    </xdr:to>
    <xdr:sp>
      <xdr:nvSpPr>
        <xdr:cNvPr id="11" name="AutoShape 11"/>
        <xdr:cNvSpPr>
          <a:spLocks/>
        </xdr:cNvSpPr>
      </xdr:nvSpPr>
      <xdr:spPr>
        <a:xfrm>
          <a:off x="3676650" y="2038350"/>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22</xdr:row>
      <xdr:rowOff>28575</xdr:rowOff>
    </xdr:from>
    <xdr:to>
      <xdr:col>31</xdr:col>
      <xdr:colOff>200025</xdr:colOff>
      <xdr:row>25</xdr:row>
      <xdr:rowOff>85725</xdr:rowOff>
    </xdr:to>
    <xdr:sp>
      <xdr:nvSpPr>
        <xdr:cNvPr id="12" name="Rectangle 12"/>
        <xdr:cNvSpPr>
          <a:spLocks/>
        </xdr:cNvSpPr>
      </xdr:nvSpPr>
      <xdr:spPr>
        <a:xfrm>
          <a:off x="7448550" y="3895725"/>
          <a:ext cx="114300" cy="6191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22</xdr:row>
      <xdr:rowOff>28575</xdr:rowOff>
    </xdr:from>
    <xdr:to>
      <xdr:col>46</xdr:col>
      <xdr:colOff>104775</xdr:colOff>
      <xdr:row>22</xdr:row>
      <xdr:rowOff>152400</xdr:rowOff>
    </xdr:to>
    <xdr:sp>
      <xdr:nvSpPr>
        <xdr:cNvPr id="13" name="Rectangle 13"/>
        <xdr:cNvSpPr>
          <a:spLocks/>
        </xdr:cNvSpPr>
      </xdr:nvSpPr>
      <xdr:spPr>
        <a:xfrm>
          <a:off x="7448550" y="3895725"/>
          <a:ext cx="344805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161925</xdr:colOff>
      <xdr:row>21</xdr:row>
      <xdr:rowOff>85725</xdr:rowOff>
    </xdr:from>
    <xdr:to>
      <xdr:col>46</xdr:col>
      <xdr:colOff>219075</xdr:colOff>
      <xdr:row>23</xdr:row>
      <xdr:rowOff>66675</xdr:rowOff>
    </xdr:to>
    <xdr:sp>
      <xdr:nvSpPr>
        <xdr:cNvPr id="14" name="AutoShape 14"/>
        <xdr:cNvSpPr>
          <a:spLocks/>
        </xdr:cNvSpPr>
      </xdr:nvSpPr>
      <xdr:spPr>
        <a:xfrm rot="5400000">
          <a:off x="10725150" y="3762375"/>
          <a:ext cx="285750" cy="3714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61</xdr:row>
      <xdr:rowOff>161925</xdr:rowOff>
    </xdr:from>
    <xdr:to>
      <xdr:col>19</xdr:col>
      <xdr:colOff>0</xdr:colOff>
      <xdr:row>64</xdr:row>
      <xdr:rowOff>19050</xdr:rowOff>
    </xdr:to>
    <xdr:sp>
      <xdr:nvSpPr>
        <xdr:cNvPr id="15" name="AutoShape 15"/>
        <xdr:cNvSpPr>
          <a:spLocks/>
        </xdr:cNvSpPr>
      </xdr:nvSpPr>
      <xdr:spPr>
        <a:xfrm rot="5400000">
          <a:off x="4305300" y="11430000"/>
          <a:ext cx="314325" cy="4476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66</xdr:row>
      <xdr:rowOff>28575</xdr:rowOff>
    </xdr:from>
    <xdr:to>
      <xdr:col>18</xdr:col>
      <xdr:colOff>219075</xdr:colOff>
      <xdr:row>68</xdr:row>
      <xdr:rowOff>9525</xdr:rowOff>
    </xdr:to>
    <xdr:sp>
      <xdr:nvSpPr>
        <xdr:cNvPr id="16" name="AutoShape 16"/>
        <xdr:cNvSpPr>
          <a:spLocks/>
        </xdr:cNvSpPr>
      </xdr:nvSpPr>
      <xdr:spPr>
        <a:xfrm rot="5400000">
          <a:off x="4305300" y="12211050"/>
          <a:ext cx="30480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66</xdr:row>
      <xdr:rowOff>180975</xdr:rowOff>
    </xdr:from>
    <xdr:to>
      <xdr:col>17</xdr:col>
      <xdr:colOff>180975</xdr:colOff>
      <xdr:row>67</xdr:row>
      <xdr:rowOff>76200</xdr:rowOff>
    </xdr:to>
    <xdr:sp>
      <xdr:nvSpPr>
        <xdr:cNvPr id="17" name="Rectangle 17"/>
        <xdr:cNvSpPr>
          <a:spLocks/>
        </xdr:cNvSpPr>
      </xdr:nvSpPr>
      <xdr:spPr>
        <a:xfrm>
          <a:off x="3276600" y="12363450"/>
          <a:ext cx="106680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62</xdr:row>
      <xdr:rowOff>152400</xdr:rowOff>
    </xdr:from>
    <xdr:to>
      <xdr:col>17</xdr:col>
      <xdr:colOff>133350</xdr:colOff>
      <xdr:row>63</xdr:row>
      <xdr:rowOff>66675</xdr:rowOff>
    </xdr:to>
    <xdr:sp>
      <xdr:nvSpPr>
        <xdr:cNvPr id="18" name="Rectangle 18"/>
        <xdr:cNvSpPr>
          <a:spLocks/>
        </xdr:cNvSpPr>
      </xdr:nvSpPr>
      <xdr:spPr>
        <a:xfrm>
          <a:off x="3248025" y="11610975"/>
          <a:ext cx="1047750"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114300</xdr:colOff>
      <xdr:row>52</xdr:row>
      <xdr:rowOff>114300</xdr:rowOff>
    </xdr:from>
    <xdr:to>
      <xdr:col>22</xdr:col>
      <xdr:colOff>114300</xdr:colOff>
      <xdr:row>54</xdr:row>
      <xdr:rowOff>28575</xdr:rowOff>
    </xdr:to>
    <xdr:sp>
      <xdr:nvSpPr>
        <xdr:cNvPr id="19" name="AutoShape 19"/>
        <xdr:cNvSpPr>
          <a:spLocks/>
        </xdr:cNvSpPr>
      </xdr:nvSpPr>
      <xdr:spPr>
        <a:xfrm>
          <a:off x="4962525" y="9639300"/>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66675</xdr:colOff>
      <xdr:row>53</xdr:row>
      <xdr:rowOff>180975</xdr:rowOff>
    </xdr:from>
    <xdr:to>
      <xdr:col>21</xdr:col>
      <xdr:colOff>180975</xdr:colOff>
      <xdr:row>61</xdr:row>
      <xdr:rowOff>0</xdr:rowOff>
    </xdr:to>
    <xdr:sp>
      <xdr:nvSpPr>
        <xdr:cNvPr id="20" name="Rectangle 20"/>
        <xdr:cNvSpPr>
          <a:spLocks/>
        </xdr:cNvSpPr>
      </xdr:nvSpPr>
      <xdr:spPr>
        <a:xfrm>
          <a:off x="5143500" y="9906000"/>
          <a:ext cx="114300" cy="1362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64</xdr:row>
      <xdr:rowOff>142875</xdr:rowOff>
    </xdr:from>
    <xdr:to>
      <xdr:col>46</xdr:col>
      <xdr:colOff>66675</xdr:colOff>
      <xdr:row>65</xdr:row>
      <xdr:rowOff>104775</xdr:rowOff>
    </xdr:to>
    <xdr:sp>
      <xdr:nvSpPr>
        <xdr:cNvPr id="21" name="Rectangle 21"/>
        <xdr:cNvSpPr>
          <a:spLocks/>
        </xdr:cNvSpPr>
      </xdr:nvSpPr>
      <xdr:spPr>
        <a:xfrm>
          <a:off x="7134225" y="12001500"/>
          <a:ext cx="37242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180975</xdr:colOff>
      <xdr:row>64</xdr:row>
      <xdr:rowOff>9525</xdr:rowOff>
    </xdr:from>
    <xdr:to>
      <xdr:col>47</xdr:col>
      <xdr:colOff>9525</xdr:colOff>
      <xdr:row>66</xdr:row>
      <xdr:rowOff>66675</xdr:rowOff>
    </xdr:to>
    <xdr:sp>
      <xdr:nvSpPr>
        <xdr:cNvPr id="22" name="AutoShape 22"/>
        <xdr:cNvSpPr>
          <a:spLocks/>
        </xdr:cNvSpPr>
      </xdr:nvSpPr>
      <xdr:spPr>
        <a:xfrm rot="5400000">
          <a:off x="10744200" y="11868150"/>
          <a:ext cx="28575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58</xdr:row>
      <xdr:rowOff>180975</xdr:rowOff>
    </xdr:from>
    <xdr:to>
      <xdr:col>21</xdr:col>
      <xdr:colOff>123825</xdr:colOff>
      <xdr:row>59</xdr:row>
      <xdr:rowOff>104775</xdr:rowOff>
    </xdr:to>
    <xdr:sp>
      <xdr:nvSpPr>
        <xdr:cNvPr id="23" name="Rectangle 23"/>
        <xdr:cNvSpPr>
          <a:spLocks/>
        </xdr:cNvSpPr>
      </xdr:nvSpPr>
      <xdr:spPr>
        <a:xfrm>
          <a:off x="3857625" y="10858500"/>
          <a:ext cx="134302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53</xdr:row>
      <xdr:rowOff>190500</xdr:rowOff>
    </xdr:from>
    <xdr:to>
      <xdr:col>16</xdr:col>
      <xdr:colOff>28575</xdr:colOff>
      <xdr:row>59</xdr:row>
      <xdr:rowOff>95250</xdr:rowOff>
    </xdr:to>
    <xdr:sp>
      <xdr:nvSpPr>
        <xdr:cNvPr id="24" name="Rectangle 24"/>
        <xdr:cNvSpPr>
          <a:spLocks/>
        </xdr:cNvSpPr>
      </xdr:nvSpPr>
      <xdr:spPr>
        <a:xfrm>
          <a:off x="3848100" y="9915525"/>
          <a:ext cx="114300" cy="10572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52</xdr:row>
      <xdr:rowOff>104775</xdr:rowOff>
    </xdr:from>
    <xdr:to>
      <xdr:col>16</xdr:col>
      <xdr:colOff>200025</xdr:colOff>
      <xdr:row>54</xdr:row>
      <xdr:rowOff>19050</xdr:rowOff>
    </xdr:to>
    <xdr:sp>
      <xdr:nvSpPr>
        <xdr:cNvPr id="25" name="AutoShape 25"/>
        <xdr:cNvSpPr>
          <a:spLocks/>
        </xdr:cNvSpPr>
      </xdr:nvSpPr>
      <xdr:spPr>
        <a:xfrm>
          <a:off x="3676650" y="9629775"/>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62</xdr:row>
      <xdr:rowOff>28575</xdr:rowOff>
    </xdr:from>
    <xdr:to>
      <xdr:col>31</xdr:col>
      <xdr:colOff>200025</xdr:colOff>
      <xdr:row>65</xdr:row>
      <xdr:rowOff>85725</xdr:rowOff>
    </xdr:to>
    <xdr:sp>
      <xdr:nvSpPr>
        <xdr:cNvPr id="26" name="Rectangle 26"/>
        <xdr:cNvSpPr>
          <a:spLocks/>
        </xdr:cNvSpPr>
      </xdr:nvSpPr>
      <xdr:spPr>
        <a:xfrm>
          <a:off x="7448550" y="11487150"/>
          <a:ext cx="114300" cy="6191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62</xdr:row>
      <xdr:rowOff>28575</xdr:rowOff>
    </xdr:from>
    <xdr:to>
      <xdr:col>46</xdr:col>
      <xdr:colOff>104775</xdr:colOff>
      <xdr:row>62</xdr:row>
      <xdr:rowOff>152400</xdr:rowOff>
    </xdr:to>
    <xdr:sp>
      <xdr:nvSpPr>
        <xdr:cNvPr id="27" name="Rectangle 27"/>
        <xdr:cNvSpPr>
          <a:spLocks/>
        </xdr:cNvSpPr>
      </xdr:nvSpPr>
      <xdr:spPr>
        <a:xfrm>
          <a:off x="7448550" y="11487150"/>
          <a:ext cx="344805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161925</xdr:colOff>
      <xdr:row>61</xdr:row>
      <xdr:rowOff>85725</xdr:rowOff>
    </xdr:from>
    <xdr:to>
      <xdr:col>46</xdr:col>
      <xdr:colOff>219075</xdr:colOff>
      <xdr:row>63</xdr:row>
      <xdr:rowOff>66675</xdr:rowOff>
    </xdr:to>
    <xdr:sp>
      <xdr:nvSpPr>
        <xdr:cNvPr id="28" name="AutoShape 28"/>
        <xdr:cNvSpPr>
          <a:spLocks/>
        </xdr:cNvSpPr>
      </xdr:nvSpPr>
      <xdr:spPr>
        <a:xfrm rot="5400000">
          <a:off x="10725150" y="11353800"/>
          <a:ext cx="285750" cy="3714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101</xdr:row>
      <xdr:rowOff>161925</xdr:rowOff>
    </xdr:from>
    <xdr:to>
      <xdr:col>19</xdr:col>
      <xdr:colOff>0</xdr:colOff>
      <xdr:row>104</xdr:row>
      <xdr:rowOff>19050</xdr:rowOff>
    </xdr:to>
    <xdr:sp>
      <xdr:nvSpPr>
        <xdr:cNvPr id="29" name="AutoShape 29"/>
        <xdr:cNvSpPr>
          <a:spLocks/>
        </xdr:cNvSpPr>
      </xdr:nvSpPr>
      <xdr:spPr>
        <a:xfrm rot="5400000">
          <a:off x="4305300" y="19021425"/>
          <a:ext cx="314325" cy="4476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106</xdr:row>
      <xdr:rowOff>28575</xdr:rowOff>
    </xdr:from>
    <xdr:to>
      <xdr:col>18</xdr:col>
      <xdr:colOff>219075</xdr:colOff>
      <xdr:row>108</xdr:row>
      <xdr:rowOff>9525</xdr:rowOff>
    </xdr:to>
    <xdr:sp>
      <xdr:nvSpPr>
        <xdr:cNvPr id="30" name="AutoShape 30"/>
        <xdr:cNvSpPr>
          <a:spLocks/>
        </xdr:cNvSpPr>
      </xdr:nvSpPr>
      <xdr:spPr>
        <a:xfrm rot="5400000">
          <a:off x="4305300" y="19802475"/>
          <a:ext cx="30480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106</xdr:row>
      <xdr:rowOff>180975</xdr:rowOff>
    </xdr:from>
    <xdr:to>
      <xdr:col>17</xdr:col>
      <xdr:colOff>180975</xdr:colOff>
      <xdr:row>107</xdr:row>
      <xdr:rowOff>76200</xdr:rowOff>
    </xdr:to>
    <xdr:sp>
      <xdr:nvSpPr>
        <xdr:cNvPr id="31" name="Rectangle 31"/>
        <xdr:cNvSpPr>
          <a:spLocks/>
        </xdr:cNvSpPr>
      </xdr:nvSpPr>
      <xdr:spPr>
        <a:xfrm>
          <a:off x="3276600" y="19954875"/>
          <a:ext cx="106680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102</xdr:row>
      <xdr:rowOff>152400</xdr:rowOff>
    </xdr:from>
    <xdr:to>
      <xdr:col>17</xdr:col>
      <xdr:colOff>133350</xdr:colOff>
      <xdr:row>103</xdr:row>
      <xdr:rowOff>66675</xdr:rowOff>
    </xdr:to>
    <xdr:sp>
      <xdr:nvSpPr>
        <xdr:cNvPr id="32" name="Rectangle 32"/>
        <xdr:cNvSpPr>
          <a:spLocks/>
        </xdr:cNvSpPr>
      </xdr:nvSpPr>
      <xdr:spPr>
        <a:xfrm>
          <a:off x="3248025" y="19202400"/>
          <a:ext cx="1047750"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114300</xdr:colOff>
      <xdr:row>92</xdr:row>
      <xdr:rowOff>114300</xdr:rowOff>
    </xdr:from>
    <xdr:to>
      <xdr:col>22</xdr:col>
      <xdr:colOff>114300</xdr:colOff>
      <xdr:row>94</xdr:row>
      <xdr:rowOff>28575</xdr:rowOff>
    </xdr:to>
    <xdr:sp>
      <xdr:nvSpPr>
        <xdr:cNvPr id="33" name="AutoShape 33"/>
        <xdr:cNvSpPr>
          <a:spLocks/>
        </xdr:cNvSpPr>
      </xdr:nvSpPr>
      <xdr:spPr>
        <a:xfrm>
          <a:off x="4962525" y="17230725"/>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66675</xdr:colOff>
      <xdr:row>93</xdr:row>
      <xdr:rowOff>180975</xdr:rowOff>
    </xdr:from>
    <xdr:to>
      <xdr:col>21</xdr:col>
      <xdr:colOff>180975</xdr:colOff>
      <xdr:row>101</xdr:row>
      <xdr:rowOff>0</xdr:rowOff>
    </xdr:to>
    <xdr:sp>
      <xdr:nvSpPr>
        <xdr:cNvPr id="34" name="Rectangle 34"/>
        <xdr:cNvSpPr>
          <a:spLocks/>
        </xdr:cNvSpPr>
      </xdr:nvSpPr>
      <xdr:spPr>
        <a:xfrm>
          <a:off x="5143500" y="17497425"/>
          <a:ext cx="114300" cy="1362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104</xdr:row>
      <xdr:rowOff>142875</xdr:rowOff>
    </xdr:from>
    <xdr:to>
      <xdr:col>46</xdr:col>
      <xdr:colOff>66675</xdr:colOff>
      <xdr:row>105</xdr:row>
      <xdr:rowOff>104775</xdr:rowOff>
    </xdr:to>
    <xdr:sp>
      <xdr:nvSpPr>
        <xdr:cNvPr id="35" name="Rectangle 35"/>
        <xdr:cNvSpPr>
          <a:spLocks/>
        </xdr:cNvSpPr>
      </xdr:nvSpPr>
      <xdr:spPr>
        <a:xfrm>
          <a:off x="7134225" y="19592925"/>
          <a:ext cx="37242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180975</xdr:colOff>
      <xdr:row>104</xdr:row>
      <xdr:rowOff>9525</xdr:rowOff>
    </xdr:from>
    <xdr:to>
      <xdr:col>47</xdr:col>
      <xdr:colOff>9525</xdr:colOff>
      <xdr:row>106</xdr:row>
      <xdr:rowOff>66675</xdr:rowOff>
    </xdr:to>
    <xdr:sp>
      <xdr:nvSpPr>
        <xdr:cNvPr id="36" name="AutoShape 36"/>
        <xdr:cNvSpPr>
          <a:spLocks/>
        </xdr:cNvSpPr>
      </xdr:nvSpPr>
      <xdr:spPr>
        <a:xfrm rot="5400000">
          <a:off x="10744200" y="19459575"/>
          <a:ext cx="28575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98</xdr:row>
      <xdr:rowOff>180975</xdr:rowOff>
    </xdr:from>
    <xdr:to>
      <xdr:col>21</xdr:col>
      <xdr:colOff>123825</xdr:colOff>
      <xdr:row>99</xdr:row>
      <xdr:rowOff>104775</xdr:rowOff>
    </xdr:to>
    <xdr:sp>
      <xdr:nvSpPr>
        <xdr:cNvPr id="37" name="Rectangle 37"/>
        <xdr:cNvSpPr>
          <a:spLocks/>
        </xdr:cNvSpPr>
      </xdr:nvSpPr>
      <xdr:spPr>
        <a:xfrm>
          <a:off x="3857625" y="18449925"/>
          <a:ext cx="134302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93</xdr:row>
      <xdr:rowOff>190500</xdr:rowOff>
    </xdr:from>
    <xdr:to>
      <xdr:col>16</xdr:col>
      <xdr:colOff>28575</xdr:colOff>
      <xdr:row>99</xdr:row>
      <xdr:rowOff>95250</xdr:rowOff>
    </xdr:to>
    <xdr:sp>
      <xdr:nvSpPr>
        <xdr:cNvPr id="38" name="Rectangle 38"/>
        <xdr:cNvSpPr>
          <a:spLocks/>
        </xdr:cNvSpPr>
      </xdr:nvSpPr>
      <xdr:spPr>
        <a:xfrm>
          <a:off x="3848100" y="17506950"/>
          <a:ext cx="114300" cy="10572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92</xdr:row>
      <xdr:rowOff>104775</xdr:rowOff>
    </xdr:from>
    <xdr:to>
      <xdr:col>16</xdr:col>
      <xdr:colOff>200025</xdr:colOff>
      <xdr:row>94</xdr:row>
      <xdr:rowOff>19050</xdr:rowOff>
    </xdr:to>
    <xdr:sp>
      <xdr:nvSpPr>
        <xdr:cNvPr id="39" name="AutoShape 39"/>
        <xdr:cNvSpPr>
          <a:spLocks/>
        </xdr:cNvSpPr>
      </xdr:nvSpPr>
      <xdr:spPr>
        <a:xfrm>
          <a:off x="3676650" y="17221200"/>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102</xdr:row>
      <xdr:rowOff>28575</xdr:rowOff>
    </xdr:from>
    <xdr:to>
      <xdr:col>31</xdr:col>
      <xdr:colOff>200025</xdr:colOff>
      <xdr:row>105</xdr:row>
      <xdr:rowOff>85725</xdr:rowOff>
    </xdr:to>
    <xdr:sp>
      <xdr:nvSpPr>
        <xdr:cNvPr id="40" name="Rectangle 40"/>
        <xdr:cNvSpPr>
          <a:spLocks/>
        </xdr:cNvSpPr>
      </xdr:nvSpPr>
      <xdr:spPr>
        <a:xfrm>
          <a:off x="7448550" y="19078575"/>
          <a:ext cx="114300" cy="6191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102</xdr:row>
      <xdr:rowOff>28575</xdr:rowOff>
    </xdr:from>
    <xdr:to>
      <xdr:col>46</xdr:col>
      <xdr:colOff>104775</xdr:colOff>
      <xdr:row>102</xdr:row>
      <xdr:rowOff>152400</xdr:rowOff>
    </xdr:to>
    <xdr:sp>
      <xdr:nvSpPr>
        <xdr:cNvPr id="41" name="Rectangle 41"/>
        <xdr:cNvSpPr>
          <a:spLocks/>
        </xdr:cNvSpPr>
      </xdr:nvSpPr>
      <xdr:spPr>
        <a:xfrm>
          <a:off x="7448550" y="19078575"/>
          <a:ext cx="344805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161925</xdr:colOff>
      <xdr:row>101</xdr:row>
      <xdr:rowOff>85725</xdr:rowOff>
    </xdr:from>
    <xdr:to>
      <xdr:col>46</xdr:col>
      <xdr:colOff>219075</xdr:colOff>
      <xdr:row>103</xdr:row>
      <xdr:rowOff>66675</xdr:rowOff>
    </xdr:to>
    <xdr:sp>
      <xdr:nvSpPr>
        <xdr:cNvPr id="42" name="AutoShape 42"/>
        <xdr:cNvSpPr>
          <a:spLocks/>
        </xdr:cNvSpPr>
      </xdr:nvSpPr>
      <xdr:spPr>
        <a:xfrm rot="5400000">
          <a:off x="10725150" y="18945225"/>
          <a:ext cx="285750" cy="3714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21</xdr:row>
      <xdr:rowOff>161925</xdr:rowOff>
    </xdr:from>
    <xdr:to>
      <xdr:col>19</xdr:col>
      <xdr:colOff>0</xdr:colOff>
      <xdr:row>24</xdr:row>
      <xdr:rowOff>19050</xdr:rowOff>
    </xdr:to>
    <xdr:sp>
      <xdr:nvSpPr>
        <xdr:cNvPr id="1" name="AutoShape 1"/>
        <xdr:cNvSpPr>
          <a:spLocks/>
        </xdr:cNvSpPr>
      </xdr:nvSpPr>
      <xdr:spPr>
        <a:xfrm rot="5400000">
          <a:off x="4305300" y="3838575"/>
          <a:ext cx="314325" cy="4476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26</xdr:row>
      <xdr:rowOff>28575</xdr:rowOff>
    </xdr:from>
    <xdr:to>
      <xdr:col>18</xdr:col>
      <xdr:colOff>219075</xdr:colOff>
      <xdr:row>28</xdr:row>
      <xdr:rowOff>9525</xdr:rowOff>
    </xdr:to>
    <xdr:sp>
      <xdr:nvSpPr>
        <xdr:cNvPr id="2" name="AutoShape 2"/>
        <xdr:cNvSpPr>
          <a:spLocks/>
        </xdr:cNvSpPr>
      </xdr:nvSpPr>
      <xdr:spPr>
        <a:xfrm rot="5400000">
          <a:off x="4305300" y="4619625"/>
          <a:ext cx="30480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26</xdr:row>
      <xdr:rowOff>180975</xdr:rowOff>
    </xdr:from>
    <xdr:to>
      <xdr:col>17</xdr:col>
      <xdr:colOff>180975</xdr:colOff>
      <xdr:row>27</xdr:row>
      <xdr:rowOff>76200</xdr:rowOff>
    </xdr:to>
    <xdr:sp>
      <xdr:nvSpPr>
        <xdr:cNvPr id="3" name="Rectangle 3"/>
        <xdr:cNvSpPr>
          <a:spLocks/>
        </xdr:cNvSpPr>
      </xdr:nvSpPr>
      <xdr:spPr>
        <a:xfrm>
          <a:off x="3276600" y="4772025"/>
          <a:ext cx="106680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22</xdr:row>
      <xdr:rowOff>152400</xdr:rowOff>
    </xdr:from>
    <xdr:to>
      <xdr:col>17</xdr:col>
      <xdr:colOff>133350</xdr:colOff>
      <xdr:row>23</xdr:row>
      <xdr:rowOff>66675</xdr:rowOff>
    </xdr:to>
    <xdr:sp>
      <xdr:nvSpPr>
        <xdr:cNvPr id="4" name="Rectangle 4"/>
        <xdr:cNvSpPr>
          <a:spLocks/>
        </xdr:cNvSpPr>
      </xdr:nvSpPr>
      <xdr:spPr>
        <a:xfrm>
          <a:off x="3248025" y="4019550"/>
          <a:ext cx="1047750"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114300</xdr:colOff>
      <xdr:row>12</xdr:row>
      <xdr:rowOff>114300</xdr:rowOff>
    </xdr:from>
    <xdr:to>
      <xdr:col>22</xdr:col>
      <xdr:colOff>114300</xdr:colOff>
      <xdr:row>14</xdr:row>
      <xdr:rowOff>28575</xdr:rowOff>
    </xdr:to>
    <xdr:sp>
      <xdr:nvSpPr>
        <xdr:cNvPr id="5" name="AutoShape 5"/>
        <xdr:cNvSpPr>
          <a:spLocks/>
        </xdr:cNvSpPr>
      </xdr:nvSpPr>
      <xdr:spPr>
        <a:xfrm>
          <a:off x="4962525" y="2047875"/>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66675</xdr:colOff>
      <xdr:row>13</xdr:row>
      <xdr:rowOff>180975</xdr:rowOff>
    </xdr:from>
    <xdr:to>
      <xdr:col>21</xdr:col>
      <xdr:colOff>180975</xdr:colOff>
      <xdr:row>21</xdr:row>
      <xdr:rowOff>0</xdr:rowOff>
    </xdr:to>
    <xdr:sp>
      <xdr:nvSpPr>
        <xdr:cNvPr id="6" name="Rectangle 6"/>
        <xdr:cNvSpPr>
          <a:spLocks/>
        </xdr:cNvSpPr>
      </xdr:nvSpPr>
      <xdr:spPr>
        <a:xfrm>
          <a:off x="5143500" y="2314575"/>
          <a:ext cx="114300" cy="1362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24</xdr:row>
      <xdr:rowOff>142875</xdr:rowOff>
    </xdr:from>
    <xdr:to>
      <xdr:col>46</xdr:col>
      <xdr:colOff>66675</xdr:colOff>
      <xdr:row>25</xdr:row>
      <xdr:rowOff>104775</xdr:rowOff>
    </xdr:to>
    <xdr:sp>
      <xdr:nvSpPr>
        <xdr:cNvPr id="7" name="Rectangle 7"/>
        <xdr:cNvSpPr>
          <a:spLocks/>
        </xdr:cNvSpPr>
      </xdr:nvSpPr>
      <xdr:spPr>
        <a:xfrm>
          <a:off x="7134225" y="4410075"/>
          <a:ext cx="37242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180975</xdr:colOff>
      <xdr:row>24</xdr:row>
      <xdr:rowOff>9525</xdr:rowOff>
    </xdr:from>
    <xdr:to>
      <xdr:col>47</xdr:col>
      <xdr:colOff>9525</xdr:colOff>
      <xdr:row>26</xdr:row>
      <xdr:rowOff>66675</xdr:rowOff>
    </xdr:to>
    <xdr:sp>
      <xdr:nvSpPr>
        <xdr:cNvPr id="8" name="AutoShape 8"/>
        <xdr:cNvSpPr>
          <a:spLocks/>
        </xdr:cNvSpPr>
      </xdr:nvSpPr>
      <xdr:spPr>
        <a:xfrm rot="5400000">
          <a:off x="10744200" y="4276725"/>
          <a:ext cx="28575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18</xdr:row>
      <xdr:rowOff>180975</xdr:rowOff>
    </xdr:from>
    <xdr:to>
      <xdr:col>21</xdr:col>
      <xdr:colOff>123825</xdr:colOff>
      <xdr:row>19</xdr:row>
      <xdr:rowOff>104775</xdr:rowOff>
    </xdr:to>
    <xdr:sp>
      <xdr:nvSpPr>
        <xdr:cNvPr id="9" name="Rectangle 9"/>
        <xdr:cNvSpPr>
          <a:spLocks/>
        </xdr:cNvSpPr>
      </xdr:nvSpPr>
      <xdr:spPr>
        <a:xfrm>
          <a:off x="3857625" y="3267075"/>
          <a:ext cx="134302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13</xdr:row>
      <xdr:rowOff>190500</xdr:rowOff>
    </xdr:from>
    <xdr:to>
      <xdr:col>16</xdr:col>
      <xdr:colOff>28575</xdr:colOff>
      <xdr:row>19</xdr:row>
      <xdr:rowOff>95250</xdr:rowOff>
    </xdr:to>
    <xdr:sp>
      <xdr:nvSpPr>
        <xdr:cNvPr id="10" name="Rectangle 10"/>
        <xdr:cNvSpPr>
          <a:spLocks/>
        </xdr:cNvSpPr>
      </xdr:nvSpPr>
      <xdr:spPr>
        <a:xfrm>
          <a:off x="3848100" y="2324100"/>
          <a:ext cx="114300" cy="10572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12</xdr:row>
      <xdr:rowOff>104775</xdr:rowOff>
    </xdr:from>
    <xdr:to>
      <xdr:col>16</xdr:col>
      <xdr:colOff>200025</xdr:colOff>
      <xdr:row>14</xdr:row>
      <xdr:rowOff>19050</xdr:rowOff>
    </xdr:to>
    <xdr:sp>
      <xdr:nvSpPr>
        <xdr:cNvPr id="11" name="AutoShape 11"/>
        <xdr:cNvSpPr>
          <a:spLocks/>
        </xdr:cNvSpPr>
      </xdr:nvSpPr>
      <xdr:spPr>
        <a:xfrm>
          <a:off x="3676650" y="2038350"/>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22</xdr:row>
      <xdr:rowOff>28575</xdr:rowOff>
    </xdr:from>
    <xdr:to>
      <xdr:col>31</xdr:col>
      <xdr:colOff>200025</xdr:colOff>
      <xdr:row>25</xdr:row>
      <xdr:rowOff>85725</xdr:rowOff>
    </xdr:to>
    <xdr:sp>
      <xdr:nvSpPr>
        <xdr:cNvPr id="12" name="Rectangle 12"/>
        <xdr:cNvSpPr>
          <a:spLocks/>
        </xdr:cNvSpPr>
      </xdr:nvSpPr>
      <xdr:spPr>
        <a:xfrm>
          <a:off x="7448550" y="3895725"/>
          <a:ext cx="114300" cy="6191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22</xdr:row>
      <xdr:rowOff>28575</xdr:rowOff>
    </xdr:from>
    <xdr:to>
      <xdr:col>46</xdr:col>
      <xdr:colOff>104775</xdr:colOff>
      <xdr:row>22</xdr:row>
      <xdr:rowOff>152400</xdr:rowOff>
    </xdr:to>
    <xdr:sp>
      <xdr:nvSpPr>
        <xdr:cNvPr id="13" name="Rectangle 13"/>
        <xdr:cNvSpPr>
          <a:spLocks/>
        </xdr:cNvSpPr>
      </xdr:nvSpPr>
      <xdr:spPr>
        <a:xfrm>
          <a:off x="7448550" y="3895725"/>
          <a:ext cx="344805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161925</xdr:colOff>
      <xdr:row>21</xdr:row>
      <xdr:rowOff>85725</xdr:rowOff>
    </xdr:from>
    <xdr:to>
      <xdr:col>46</xdr:col>
      <xdr:colOff>219075</xdr:colOff>
      <xdr:row>23</xdr:row>
      <xdr:rowOff>66675</xdr:rowOff>
    </xdr:to>
    <xdr:sp>
      <xdr:nvSpPr>
        <xdr:cNvPr id="14" name="AutoShape 14"/>
        <xdr:cNvSpPr>
          <a:spLocks/>
        </xdr:cNvSpPr>
      </xdr:nvSpPr>
      <xdr:spPr>
        <a:xfrm rot="5400000">
          <a:off x="10725150" y="3762375"/>
          <a:ext cx="285750" cy="3714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61</xdr:row>
      <xdr:rowOff>161925</xdr:rowOff>
    </xdr:from>
    <xdr:to>
      <xdr:col>19</xdr:col>
      <xdr:colOff>0</xdr:colOff>
      <xdr:row>64</xdr:row>
      <xdr:rowOff>19050</xdr:rowOff>
    </xdr:to>
    <xdr:sp>
      <xdr:nvSpPr>
        <xdr:cNvPr id="15" name="AutoShape 15"/>
        <xdr:cNvSpPr>
          <a:spLocks/>
        </xdr:cNvSpPr>
      </xdr:nvSpPr>
      <xdr:spPr>
        <a:xfrm rot="5400000">
          <a:off x="4305300" y="11430000"/>
          <a:ext cx="314325" cy="4476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66</xdr:row>
      <xdr:rowOff>28575</xdr:rowOff>
    </xdr:from>
    <xdr:to>
      <xdr:col>18</xdr:col>
      <xdr:colOff>219075</xdr:colOff>
      <xdr:row>68</xdr:row>
      <xdr:rowOff>9525</xdr:rowOff>
    </xdr:to>
    <xdr:sp>
      <xdr:nvSpPr>
        <xdr:cNvPr id="16" name="AutoShape 16"/>
        <xdr:cNvSpPr>
          <a:spLocks/>
        </xdr:cNvSpPr>
      </xdr:nvSpPr>
      <xdr:spPr>
        <a:xfrm rot="5400000">
          <a:off x="4305300" y="12211050"/>
          <a:ext cx="30480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66</xdr:row>
      <xdr:rowOff>180975</xdr:rowOff>
    </xdr:from>
    <xdr:to>
      <xdr:col>17</xdr:col>
      <xdr:colOff>180975</xdr:colOff>
      <xdr:row>67</xdr:row>
      <xdr:rowOff>76200</xdr:rowOff>
    </xdr:to>
    <xdr:sp>
      <xdr:nvSpPr>
        <xdr:cNvPr id="17" name="Rectangle 17"/>
        <xdr:cNvSpPr>
          <a:spLocks/>
        </xdr:cNvSpPr>
      </xdr:nvSpPr>
      <xdr:spPr>
        <a:xfrm>
          <a:off x="3276600" y="12363450"/>
          <a:ext cx="106680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62</xdr:row>
      <xdr:rowOff>152400</xdr:rowOff>
    </xdr:from>
    <xdr:to>
      <xdr:col>17</xdr:col>
      <xdr:colOff>133350</xdr:colOff>
      <xdr:row>63</xdr:row>
      <xdr:rowOff>66675</xdr:rowOff>
    </xdr:to>
    <xdr:sp>
      <xdr:nvSpPr>
        <xdr:cNvPr id="18" name="Rectangle 18"/>
        <xdr:cNvSpPr>
          <a:spLocks/>
        </xdr:cNvSpPr>
      </xdr:nvSpPr>
      <xdr:spPr>
        <a:xfrm>
          <a:off x="3248025" y="11610975"/>
          <a:ext cx="1047750"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114300</xdr:colOff>
      <xdr:row>52</xdr:row>
      <xdr:rowOff>114300</xdr:rowOff>
    </xdr:from>
    <xdr:to>
      <xdr:col>22</xdr:col>
      <xdr:colOff>114300</xdr:colOff>
      <xdr:row>54</xdr:row>
      <xdr:rowOff>28575</xdr:rowOff>
    </xdr:to>
    <xdr:sp>
      <xdr:nvSpPr>
        <xdr:cNvPr id="19" name="AutoShape 19"/>
        <xdr:cNvSpPr>
          <a:spLocks/>
        </xdr:cNvSpPr>
      </xdr:nvSpPr>
      <xdr:spPr>
        <a:xfrm>
          <a:off x="4962525" y="9639300"/>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66675</xdr:colOff>
      <xdr:row>53</xdr:row>
      <xdr:rowOff>180975</xdr:rowOff>
    </xdr:from>
    <xdr:to>
      <xdr:col>21</xdr:col>
      <xdr:colOff>180975</xdr:colOff>
      <xdr:row>61</xdr:row>
      <xdr:rowOff>0</xdr:rowOff>
    </xdr:to>
    <xdr:sp>
      <xdr:nvSpPr>
        <xdr:cNvPr id="20" name="Rectangle 20"/>
        <xdr:cNvSpPr>
          <a:spLocks/>
        </xdr:cNvSpPr>
      </xdr:nvSpPr>
      <xdr:spPr>
        <a:xfrm>
          <a:off x="5143500" y="9906000"/>
          <a:ext cx="114300" cy="1362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64</xdr:row>
      <xdr:rowOff>142875</xdr:rowOff>
    </xdr:from>
    <xdr:to>
      <xdr:col>46</xdr:col>
      <xdr:colOff>66675</xdr:colOff>
      <xdr:row>65</xdr:row>
      <xdr:rowOff>104775</xdr:rowOff>
    </xdr:to>
    <xdr:sp>
      <xdr:nvSpPr>
        <xdr:cNvPr id="21" name="Rectangle 21"/>
        <xdr:cNvSpPr>
          <a:spLocks/>
        </xdr:cNvSpPr>
      </xdr:nvSpPr>
      <xdr:spPr>
        <a:xfrm>
          <a:off x="7134225" y="12001500"/>
          <a:ext cx="37242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180975</xdr:colOff>
      <xdr:row>64</xdr:row>
      <xdr:rowOff>9525</xdr:rowOff>
    </xdr:from>
    <xdr:to>
      <xdr:col>47</xdr:col>
      <xdr:colOff>9525</xdr:colOff>
      <xdr:row>66</xdr:row>
      <xdr:rowOff>66675</xdr:rowOff>
    </xdr:to>
    <xdr:sp>
      <xdr:nvSpPr>
        <xdr:cNvPr id="22" name="AutoShape 22"/>
        <xdr:cNvSpPr>
          <a:spLocks/>
        </xdr:cNvSpPr>
      </xdr:nvSpPr>
      <xdr:spPr>
        <a:xfrm rot="5400000">
          <a:off x="10744200" y="11868150"/>
          <a:ext cx="28575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58</xdr:row>
      <xdr:rowOff>180975</xdr:rowOff>
    </xdr:from>
    <xdr:to>
      <xdr:col>21</xdr:col>
      <xdr:colOff>123825</xdr:colOff>
      <xdr:row>59</xdr:row>
      <xdr:rowOff>104775</xdr:rowOff>
    </xdr:to>
    <xdr:sp>
      <xdr:nvSpPr>
        <xdr:cNvPr id="23" name="Rectangle 23"/>
        <xdr:cNvSpPr>
          <a:spLocks/>
        </xdr:cNvSpPr>
      </xdr:nvSpPr>
      <xdr:spPr>
        <a:xfrm>
          <a:off x="3857625" y="10858500"/>
          <a:ext cx="134302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53</xdr:row>
      <xdr:rowOff>190500</xdr:rowOff>
    </xdr:from>
    <xdr:to>
      <xdr:col>16</xdr:col>
      <xdr:colOff>28575</xdr:colOff>
      <xdr:row>59</xdr:row>
      <xdr:rowOff>95250</xdr:rowOff>
    </xdr:to>
    <xdr:sp>
      <xdr:nvSpPr>
        <xdr:cNvPr id="24" name="Rectangle 24"/>
        <xdr:cNvSpPr>
          <a:spLocks/>
        </xdr:cNvSpPr>
      </xdr:nvSpPr>
      <xdr:spPr>
        <a:xfrm>
          <a:off x="3848100" y="9915525"/>
          <a:ext cx="114300" cy="10572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52</xdr:row>
      <xdr:rowOff>104775</xdr:rowOff>
    </xdr:from>
    <xdr:to>
      <xdr:col>16</xdr:col>
      <xdr:colOff>200025</xdr:colOff>
      <xdr:row>54</xdr:row>
      <xdr:rowOff>19050</xdr:rowOff>
    </xdr:to>
    <xdr:sp>
      <xdr:nvSpPr>
        <xdr:cNvPr id="25" name="AutoShape 25"/>
        <xdr:cNvSpPr>
          <a:spLocks/>
        </xdr:cNvSpPr>
      </xdr:nvSpPr>
      <xdr:spPr>
        <a:xfrm>
          <a:off x="3676650" y="9629775"/>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62</xdr:row>
      <xdr:rowOff>28575</xdr:rowOff>
    </xdr:from>
    <xdr:to>
      <xdr:col>31</xdr:col>
      <xdr:colOff>200025</xdr:colOff>
      <xdr:row>65</xdr:row>
      <xdr:rowOff>85725</xdr:rowOff>
    </xdr:to>
    <xdr:sp>
      <xdr:nvSpPr>
        <xdr:cNvPr id="26" name="Rectangle 26"/>
        <xdr:cNvSpPr>
          <a:spLocks/>
        </xdr:cNvSpPr>
      </xdr:nvSpPr>
      <xdr:spPr>
        <a:xfrm>
          <a:off x="7448550" y="11487150"/>
          <a:ext cx="114300" cy="6191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62</xdr:row>
      <xdr:rowOff>28575</xdr:rowOff>
    </xdr:from>
    <xdr:to>
      <xdr:col>46</xdr:col>
      <xdr:colOff>104775</xdr:colOff>
      <xdr:row>62</xdr:row>
      <xdr:rowOff>152400</xdr:rowOff>
    </xdr:to>
    <xdr:sp>
      <xdr:nvSpPr>
        <xdr:cNvPr id="27" name="Rectangle 27"/>
        <xdr:cNvSpPr>
          <a:spLocks/>
        </xdr:cNvSpPr>
      </xdr:nvSpPr>
      <xdr:spPr>
        <a:xfrm>
          <a:off x="7448550" y="11487150"/>
          <a:ext cx="344805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161925</xdr:colOff>
      <xdr:row>61</xdr:row>
      <xdr:rowOff>85725</xdr:rowOff>
    </xdr:from>
    <xdr:to>
      <xdr:col>46</xdr:col>
      <xdr:colOff>219075</xdr:colOff>
      <xdr:row>63</xdr:row>
      <xdr:rowOff>66675</xdr:rowOff>
    </xdr:to>
    <xdr:sp>
      <xdr:nvSpPr>
        <xdr:cNvPr id="28" name="AutoShape 28"/>
        <xdr:cNvSpPr>
          <a:spLocks/>
        </xdr:cNvSpPr>
      </xdr:nvSpPr>
      <xdr:spPr>
        <a:xfrm rot="5400000">
          <a:off x="10725150" y="11353800"/>
          <a:ext cx="285750" cy="3714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101</xdr:row>
      <xdr:rowOff>161925</xdr:rowOff>
    </xdr:from>
    <xdr:to>
      <xdr:col>19</xdr:col>
      <xdr:colOff>0</xdr:colOff>
      <xdr:row>104</xdr:row>
      <xdr:rowOff>19050</xdr:rowOff>
    </xdr:to>
    <xdr:sp>
      <xdr:nvSpPr>
        <xdr:cNvPr id="29" name="AutoShape 29"/>
        <xdr:cNvSpPr>
          <a:spLocks/>
        </xdr:cNvSpPr>
      </xdr:nvSpPr>
      <xdr:spPr>
        <a:xfrm rot="5400000">
          <a:off x="4305300" y="19021425"/>
          <a:ext cx="314325" cy="4476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106</xdr:row>
      <xdr:rowOff>28575</xdr:rowOff>
    </xdr:from>
    <xdr:to>
      <xdr:col>18</xdr:col>
      <xdr:colOff>219075</xdr:colOff>
      <xdr:row>108</xdr:row>
      <xdr:rowOff>9525</xdr:rowOff>
    </xdr:to>
    <xdr:sp>
      <xdr:nvSpPr>
        <xdr:cNvPr id="30" name="AutoShape 30"/>
        <xdr:cNvSpPr>
          <a:spLocks/>
        </xdr:cNvSpPr>
      </xdr:nvSpPr>
      <xdr:spPr>
        <a:xfrm rot="5400000">
          <a:off x="4305300" y="19802475"/>
          <a:ext cx="30480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106</xdr:row>
      <xdr:rowOff>180975</xdr:rowOff>
    </xdr:from>
    <xdr:to>
      <xdr:col>17</xdr:col>
      <xdr:colOff>180975</xdr:colOff>
      <xdr:row>107</xdr:row>
      <xdr:rowOff>76200</xdr:rowOff>
    </xdr:to>
    <xdr:sp>
      <xdr:nvSpPr>
        <xdr:cNvPr id="31" name="Rectangle 31"/>
        <xdr:cNvSpPr>
          <a:spLocks/>
        </xdr:cNvSpPr>
      </xdr:nvSpPr>
      <xdr:spPr>
        <a:xfrm>
          <a:off x="3276600" y="19954875"/>
          <a:ext cx="106680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102</xdr:row>
      <xdr:rowOff>152400</xdr:rowOff>
    </xdr:from>
    <xdr:to>
      <xdr:col>17</xdr:col>
      <xdr:colOff>133350</xdr:colOff>
      <xdr:row>103</xdr:row>
      <xdr:rowOff>66675</xdr:rowOff>
    </xdr:to>
    <xdr:sp>
      <xdr:nvSpPr>
        <xdr:cNvPr id="32" name="Rectangle 32"/>
        <xdr:cNvSpPr>
          <a:spLocks/>
        </xdr:cNvSpPr>
      </xdr:nvSpPr>
      <xdr:spPr>
        <a:xfrm>
          <a:off x="3248025" y="19202400"/>
          <a:ext cx="1047750"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114300</xdr:colOff>
      <xdr:row>92</xdr:row>
      <xdr:rowOff>114300</xdr:rowOff>
    </xdr:from>
    <xdr:to>
      <xdr:col>22</xdr:col>
      <xdr:colOff>114300</xdr:colOff>
      <xdr:row>94</xdr:row>
      <xdr:rowOff>28575</xdr:rowOff>
    </xdr:to>
    <xdr:sp>
      <xdr:nvSpPr>
        <xdr:cNvPr id="33" name="AutoShape 33"/>
        <xdr:cNvSpPr>
          <a:spLocks/>
        </xdr:cNvSpPr>
      </xdr:nvSpPr>
      <xdr:spPr>
        <a:xfrm>
          <a:off x="4962525" y="17230725"/>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66675</xdr:colOff>
      <xdr:row>93</xdr:row>
      <xdr:rowOff>180975</xdr:rowOff>
    </xdr:from>
    <xdr:to>
      <xdr:col>21</xdr:col>
      <xdr:colOff>180975</xdr:colOff>
      <xdr:row>101</xdr:row>
      <xdr:rowOff>0</xdr:rowOff>
    </xdr:to>
    <xdr:sp>
      <xdr:nvSpPr>
        <xdr:cNvPr id="34" name="Rectangle 34"/>
        <xdr:cNvSpPr>
          <a:spLocks/>
        </xdr:cNvSpPr>
      </xdr:nvSpPr>
      <xdr:spPr>
        <a:xfrm>
          <a:off x="5143500" y="17497425"/>
          <a:ext cx="114300" cy="1362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104</xdr:row>
      <xdr:rowOff>142875</xdr:rowOff>
    </xdr:from>
    <xdr:to>
      <xdr:col>46</xdr:col>
      <xdr:colOff>66675</xdr:colOff>
      <xdr:row>105</xdr:row>
      <xdr:rowOff>104775</xdr:rowOff>
    </xdr:to>
    <xdr:sp>
      <xdr:nvSpPr>
        <xdr:cNvPr id="35" name="Rectangle 35"/>
        <xdr:cNvSpPr>
          <a:spLocks/>
        </xdr:cNvSpPr>
      </xdr:nvSpPr>
      <xdr:spPr>
        <a:xfrm>
          <a:off x="7134225" y="19592925"/>
          <a:ext cx="37242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180975</xdr:colOff>
      <xdr:row>104</xdr:row>
      <xdr:rowOff>9525</xdr:rowOff>
    </xdr:from>
    <xdr:to>
      <xdr:col>47</xdr:col>
      <xdr:colOff>9525</xdr:colOff>
      <xdr:row>106</xdr:row>
      <xdr:rowOff>66675</xdr:rowOff>
    </xdr:to>
    <xdr:sp>
      <xdr:nvSpPr>
        <xdr:cNvPr id="36" name="AutoShape 36"/>
        <xdr:cNvSpPr>
          <a:spLocks/>
        </xdr:cNvSpPr>
      </xdr:nvSpPr>
      <xdr:spPr>
        <a:xfrm rot="5400000">
          <a:off x="10744200" y="19459575"/>
          <a:ext cx="28575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98</xdr:row>
      <xdr:rowOff>180975</xdr:rowOff>
    </xdr:from>
    <xdr:to>
      <xdr:col>21</xdr:col>
      <xdr:colOff>123825</xdr:colOff>
      <xdr:row>99</xdr:row>
      <xdr:rowOff>104775</xdr:rowOff>
    </xdr:to>
    <xdr:sp>
      <xdr:nvSpPr>
        <xdr:cNvPr id="37" name="Rectangle 37"/>
        <xdr:cNvSpPr>
          <a:spLocks/>
        </xdr:cNvSpPr>
      </xdr:nvSpPr>
      <xdr:spPr>
        <a:xfrm>
          <a:off x="3857625" y="18449925"/>
          <a:ext cx="134302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93</xdr:row>
      <xdr:rowOff>190500</xdr:rowOff>
    </xdr:from>
    <xdr:to>
      <xdr:col>16</xdr:col>
      <xdr:colOff>28575</xdr:colOff>
      <xdr:row>99</xdr:row>
      <xdr:rowOff>95250</xdr:rowOff>
    </xdr:to>
    <xdr:sp>
      <xdr:nvSpPr>
        <xdr:cNvPr id="38" name="Rectangle 38"/>
        <xdr:cNvSpPr>
          <a:spLocks/>
        </xdr:cNvSpPr>
      </xdr:nvSpPr>
      <xdr:spPr>
        <a:xfrm>
          <a:off x="3848100" y="17506950"/>
          <a:ext cx="114300" cy="10572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92</xdr:row>
      <xdr:rowOff>104775</xdr:rowOff>
    </xdr:from>
    <xdr:to>
      <xdr:col>16</xdr:col>
      <xdr:colOff>200025</xdr:colOff>
      <xdr:row>94</xdr:row>
      <xdr:rowOff>19050</xdr:rowOff>
    </xdr:to>
    <xdr:sp>
      <xdr:nvSpPr>
        <xdr:cNvPr id="39" name="AutoShape 39"/>
        <xdr:cNvSpPr>
          <a:spLocks/>
        </xdr:cNvSpPr>
      </xdr:nvSpPr>
      <xdr:spPr>
        <a:xfrm>
          <a:off x="3676650" y="17221200"/>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102</xdr:row>
      <xdr:rowOff>28575</xdr:rowOff>
    </xdr:from>
    <xdr:to>
      <xdr:col>31</xdr:col>
      <xdr:colOff>200025</xdr:colOff>
      <xdr:row>105</xdr:row>
      <xdr:rowOff>85725</xdr:rowOff>
    </xdr:to>
    <xdr:sp>
      <xdr:nvSpPr>
        <xdr:cNvPr id="40" name="Rectangle 40"/>
        <xdr:cNvSpPr>
          <a:spLocks/>
        </xdr:cNvSpPr>
      </xdr:nvSpPr>
      <xdr:spPr>
        <a:xfrm>
          <a:off x="7448550" y="19078575"/>
          <a:ext cx="114300" cy="6191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102</xdr:row>
      <xdr:rowOff>28575</xdr:rowOff>
    </xdr:from>
    <xdr:to>
      <xdr:col>46</xdr:col>
      <xdr:colOff>104775</xdr:colOff>
      <xdr:row>102</xdr:row>
      <xdr:rowOff>152400</xdr:rowOff>
    </xdr:to>
    <xdr:sp>
      <xdr:nvSpPr>
        <xdr:cNvPr id="41" name="Rectangle 41"/>
        <xdr:cNvSpPr>
          <a:spLocks/>
        </xdr:cNvSpPr>
      </xdr:nvSpPr>
      <xdr:spPr>
        <a:xfrm>
          <a:off x="7448550" y="19078575"/>
          <a:ext cx="344805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161925</xdr:colOff>
      <xdr:row>101</xdr:row>
      <xdr:rowOff>85725</xdr:rowOff>
    </xdr:from>
    <xdr:to>
      <xdr:col>46</xdr:col>
      <xdr:colOff>219075</xdr:colOff>
      <xdr:row>103</xdr:row>
      <xdr:rowOff>66675</xdr:rowOff>
    </xdr:to>
    <xdr:sp>
      <xdr:nvSpPr>
        <xdr:cNvPr id="42" name="AutoShape 42"/>
        <xdr:cNvSpPr>
          <a:spLocks/>
        </xdr:cNvSpPr>
      </xdr:nvSpPr>
      <xdr:spPr>
        <a:xfrm rot="5400000">
          <a:off x="10725150" y="18945225"/>
          <a:ext cx="285750" cy="3714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21</xdr:row>
      <xdr:rowOff>161925</xdr:rowOff>
    </xdr:from>
    <xdr:to>
      <xdr:col>19</xdr:col>
      <xdr:colOff>0</xdr:colOff>
      <xdr:row>24</xdr:row>
      <xdr:rowOff>19050</xdr:rowOff>
    </xdr:to>
    <xdr:sp>
      <xdr:nvSpPr>
        <xdr:cNvPr id="1" name="AutoShape 1"/>
        <xdr:cNvSpPr>
          <a:spLocks/>
        </xdr:cNvSpPr>
      </xdr:nvSpPr>
      <xdr:spPr>
        <a:xfrm rot="5400000">
          <a:off x="4305300" y="3838575"/>
          <a:ext cx="314325" cy="4476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26</xdr:row>
      <xdr:rowOff>28575</xdr:rowOff>
    </xdr:from>
    <xdr:to>
      <xdr:col>18</xdr:col>
      <xdr:colOff>219075</xdr:colOff>
      <xdr:row>28</xdr:row>
      <xdr:rowOff>9525</xdr:rowOff>
    </xdr:to>
    <xdr:sp>
      <xdr:nvSpPr>
        <xdr:cNvPr id="2" name="AutoShape 2"/>
        <xdr:cNvSpPr>
          <a:spLocks/>
        </xdr:cNvSpPr>
      </xdr:nvSpPr>
      <xdr:spPr>
        <a:xfrm rot="5400000">
          <a:off x="4305300" y="4619625"/>
          <a:ext cx="30480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26</xdr:row>
      <xdr:rowOff>180975</xdr:rowOff>
    </xdr:from>
    <xdr:to>
      <xdr:col>17</xdr:col>
      <xdr:colOff>180975</xdr:colOff>
      <xdr:row>27</xdr:row>
      <xdr:rowOff>76200</xdr:rowOff>
    </xdr:to>
    <xdr:sp>
      <xdr:nvSpPr>
        <xdr:cNvPr id="3" name="Rectangle 3"/>
        <xdr:cNvSpPr>
          <a:spLocks/>
        </xdr:cNvSpPr>
      </xdr:nvSpPr>
      <xdr:spPr>
        <a:xfrm>
          <a:off x="3276600" y="4772025"/>
          <a:ext cx="106680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22</xdr:row>
      <xdr:rowOff>152400</xdr:rowOff>
    </xdr:from>
    <xdr:to>
      <xdr:col>17</xdr:col>
      <xdr:colOff>133350</xdr:colOff>
      <xdr:row>23</xdr:row>
      <xdr:rowOff>66675</xdr:rowOff>
    </xdr:to>
    <xdr:sp>
      <xdr:nvSpPr>
        <xdr:cNvPr id="4" name="Rectangle 4"/>
        <xdr:cNvSpPr>
          <a:spLocks/>
        </xdr:cNvSpPr>
      </xdr:nvSpPr>
      <xdr:spPr>
        <a:xfrm>
          <a:off x="3248025" y="4019550"/>
          <a:ext cx="1047750"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114300</xdr:colOff>
      <xdr:row>12</xdr:row>
      <xdr:rowOff>114300</xdr:rowOff>
    </xdr:from>
    <xdr:to>
      <xdr:col>22</xdr:col>
      <xdr:colOff>114300</xdr:colOff>
      <xdr:row>14</xdr:row>
      <xdr:rowOff>28575</xdr:rowOff>
    </xdr:to>
    <xdr:sp>
      <xdr:nvSpPr>
        <xdr:cNvPr id="5" name="AutoShape 5"/>
        <xdr:cNvSpPr>
          <a:spLocks/>
        </xdr:cNvSpPr>
      </xdr:nvSpPr>
      <xdr:spPr>
        <a:xfrm>
          <a:off x="4962525" y="2047875"/>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66675</xdr:colOff>
      <xdr:row>13</xdr:row>
      <xdr:rowOff>180975</xdr:rowOff>
    </xdr:from>
    <xdr:to>
      <xdr:col>21</xdr:col>
      <xdr:colOff>180975</xdr:colOff>
      <xdr:row>21</xdr:row>
      <xdr:rowOff>0</xdr:rowOff>
    </xdr:to>
    <xdr:sp>
      <xdr:nvSpPr>
        <xdr:cNvPr id="6" name="Rectangle 6"/>
        <xdr:cNvSpPr>
          <a:spLocks/>
        </xdr:cNvSpPr>
      </xdr:nvSpPr>
      <xdr:spPr>
        <a:xfrm>
          <a:off x="5143500" y="2314575"/>
          <a:ext cx="114300" cy="1362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24</xdr:row>
      <xdr:rowOff>142875</xdr:rowOff>
    </xdr:from>
    <xdr:to>
      <xdr:col>46</xdr:col>
      <xdr:colOff>66675</xdr:colOff>
      <xdr:row>25</xdr:row>
      <xdr:rowOff>104775</xdr:rowOff>
    </xdr:to>
    <xdr:sp>
      <xdr:nvSpPr>
        <xdr:cNvPr id="7" name="Rectangle 7"/>
        <xdr:cNvSpPr>
          <a:spLocks/>
        </xdr:cNvSpPr>
      </xdr:nvSpPr>
      <xdr:spPr>
        <a:xfrm>
          <a:off x="7134225" y="4410075"/>
          <a:ext cx="37242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180975</xdr:colOff>
      <xdr:row>24</xdr:row>
      <xdr:rowOff>9525</xdr:rowOff>
    </xdr:from>
    <xdr:to>
      <xdr:col>47</xdr:col>
      <xdr:colOff>9525</xdr:colOff>
      <xdr:row>26</xdr:row>
      <xdr:rowOff>66675</xdr:rowOff>
    </xdr:to>
    <xdr:sp>
      <xdr:nvSpPr>
        <xdr:cNvPr id="8" name="AutoShape 8"/>
        <xdr:cNvSpPr>
          <a:spLocks/>
        </xdr:cNvSpPr>
      </xdr:nvSpPr>
      <xdr:spPr>
        <a:xfrm rot="5400000">
          <a:off x="10744200" y="4276725"/>
          <a:ext cx="28575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18</xdr:row>
      <xdr:rowOff>180975</xdr:rowOff>
    </xdr:from>
    <xdr:to>
      <xdr:col>21</xdr:col>
      <xdr:colOff>123825</xdr:colOff>
      <xdr:row>19</xdr:row>
      <xdr:rowOff>104775</xdr:rowOff>
    </xdr:to>
    <xdr:sp>
      <xdr:nvSpPr>
        <xdr:cNvPr id="9" name="Rectangle 9"/>
        <xdr:cNvSpPr>
          <a:spLocks/>
        </xdr:cNvSpPr>
      </xdr:nvSpPr>
      <xdr:spPr>
        <a:xfrm>
          <a:off x="3857625" y="3267075"/>
          <a:ext cx="134302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13</xdr:row>
      <xdr:rowOff>190500</xdr:rowOff>
    </xdr:from>
    <xdr:to>
      <xdr:col>16</xdr:col>
      <xdr:colOff>28575</xdr:colOff>
      <xdr:row>19</xdr:row>
      <xdr:rowOff>95250</xdr:rowOff>
    </xdr:to>
    <xdr:sp>
      <xdr:nvSpPr>
        <xdr:cNvPr id="10" name="Rectangle 10"/>
        <xdr:cNvSpPr>
          <a:spLocks/>
        </xdr:cNvSpPr>
      </xdr:nvSpPr>
      <xdr:spPr>
        <a:xfrm>
          <a:off x="3848100" y="2324100"/>
          <a:ext cx="114300" cy="10572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12</xdr:row>
      <xdr:rowOff>104775</xdr:rowOff>
    </xdr:from>
    <xdr:to>
      <xdr:col>16</xdr:col>
      <xdr:colOff>200025</xdr:colOff>
      <xdr:row>14</xdr:row>
      <xdr:rowOff>19050</xdr:rowOff>
    </xdr:to>
    <xdr:sp>
      <xdr:nvSpPr>
        <xdr:cNvPr id="11" name="AutoShape 11"/>
        <xdr:cNvSpPr>
          <a:spLocks/>
        </xdr:cNvSpPr>
      </xdr:nvSpPr>
      <xdr:spPr>
        <a:xfrm>
          <a:off x="3676650" y="2038350"/>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22</xdr:row>
      <xdr:rowOff>28575</xdr:rowOff>
    </xdr:from>
    <xdr:to>
      <xdr:col>31</xdr:col>
      <xdr:colOff>200025</xdr:colOff>
      <xdr:row>25</xdr:row>
      <xdr:rowOff>85725</xdr:rowOff>
    </xdr:to>
    <xdr:sp>
      <xdr:nvSpPr>
        <xdr:cNvPr id="12" name="Rectangle 12"/>
        <xdr:cNvSpPr>
          <a:spLocks/>
        </xdr:cNvSpPr>
      </xdr:nvSpPr>
      <xdr:spPr>
        <a:xfrm>
          <a:off x="7448550" y="3895725"/>
          <a:ext cx="114300" cy="6191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22</xdr:row>
      <xdr:rowOff>28575</xdr:rowOff>
    </xdr:from>
    <xdr:to>
      <xdr:col>46</xdr:col>
      <xdr:colOff>104775</xdr:colOff>
      <xdr:row>22</xdr:row>
      <xdr:rowOff>152400</xdr:rowOff>
    </xdr:to>
    <xdr:sp>
      <xdr:nvSpPr>
        <xdr:cNvPr id="13" name="Rectangle 13"/>
        <xdr:cNvSpPr>
          <a:spLocks/>
        </xdr:cNvSpPr>
      </xdr:nvSpPr>
      <xdr:spPr>
        <a:xfrm>
          <a:off x="7448550" y="3895725"/>
          <a:ext cx="344805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161925</xdr:colOff>
      <xdr:row>21</xdr:row>
      <xdr:rowOff>85725</xdr:rowOff>
    </xdr:from>
    <xdr:to>
      <xdr:col>46</xdr:col>
      <xdr:colOff>219075</xdr:colOff>
      <xdr:row>23</xdr:row>
      <xdr:rowOff>66675</xdr:rowOff>
    </xdr:to>
    <xdr:sp>
      <xdr:nvSpPr>
        <xdr:cNvPr id="14" name="AutoShape 14"/>
        <xdr:cNvSpPr>
          <a:spLocks/>
        </xdr:cNvSpPr>
      </xdr:nvSpPr>
      <xdr:spPr>
        <a:xfrm rot="5400000">
          <a:off x="10725150" y="3762375"/>
          <a:ext cx="285750" cy="3714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61</xdr:row>
      <xdr:rowOff>161925</xdr:rowOff>
    </xdr:from>
    <xdr:to>
      <xdr:col>19</xdr:col>
      <xdr:colOff>0</xdr:colOff>
      <xdr:row>64</xdr:row>
      <xdr:rowOff>19050</xdr:rowOff>
    </xdr:to>
    <xdr:sp>
      <xdr:nvSpPr>
        <xdr:cNvPr id="15" name="AutoShape 15"/>
        <xdr:cNvSpPr>
          <a:spLocks/>
        </xdr:cNvSpPr>
      </xdr:nvSpPr>
      <xdr:spPr>
        <a:xfrm rot="5400000">
          <a:off x="4305300" y="11430000"/>
          <a:ext cx="314325" cy="4476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66</xdr:row>
      <xdr:rowOff>28575</xdr:rowOff>
    </xdr:from>
    <xdr:to>
      <xdr:col>18</xdr:col>
      <xdr:colOff>219075</xdr:colOff>
      <xdr:row>68</xdr:row>
      <xdr:rowOff>9525</xdr:rowOff>
    </xdr:to>
    <xdr:sp>
      <xdr:nvSpPr>
        <xdr:cNvPr id="16" name="AutoShape 16"/>
        <xdr:cNvSpPr>
          <a:spLocks/>
        </xdr:cNvSpPr>
      </xdr:nvSpPr>
      <xdr:spPr>
        <a:xfrm rot="5400000">
          <a:off x="4305300" y="12211050"/>
          <a:ext cx="30480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66</xdr:row>
      <xdr:rowOff>180975</xdr:rowOff>
    </xdr:from>
    <xdr:to>
      <xdr:col>17</xdr:col>
      <xdr:colOff>180975</xdr:colOff>
      <xdr:row>67</xdr:row>
      <xdr:rowOff>76200</xdr:rowOff>
    </xdr:to>
    <xdr:sp>
      <xdr:nvSpPr>
        <xdr:cNvPr id="17" name="Rectangle 17"/>
        <xdr:cNvSpPr>
          <a:spLocks/>
        </xdr:cNvSpPr>
      </xdr:nvSpPr>
      <xdr:spPr>
        <a:xfrm>
          <a:off x="3276600" y="12363450"/>
          <a:ext cx="106680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62</xdr:row>
      <xdr:rowOff>152400</xdr:rowOff>
    </xdr:from>
    <xdr:to>
      <xdr:col>17</xdr:col>
      <xdr:colOff>133350</xdr:colOff>
      <xdr:row>63</xdr:row>
      <xdr:rowOff>66675</xdr:rowOff>
    </xdr:to>
    <xdr:sp>
      <xdr:nvSpPr>
        <xdr:cNvPr id="18" name="Rectangle 18"/>
        <xdr:cNvSpPr>
          <a:spLocks/>
        </xdr:cNvSpPr>
      </xdr:nvSpPr>
      <xdr:spPr>
        <a:xfrm>
          <a:off x="3248025" y="11610975"/>
          <a:ext cx="1047750"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114300</xdr:colOff>
      <xdr:row>52</xdr:row>
      <xdr:rowOff>114300</xdr:rowOff>
    </xdr:from>
    <xdr:to>
      <xdr:col>22</xdr:col>
      <xdr:colOff>114300</xdr:colOff>
      <xdr:row>54</xdr:row>
      <xdr:rowOff>28575</xdr:rowOff>
    </xdr:to>
    <xdr:sp>
      <xdr:nvSpPr>
        <xdr:cNvPr id="19" name="AutoShape 19"/>
        <xdr:cNvSpPr>
          <a:spLocks/>
        </xdr:cNvSpPr>
      </xdr:nvSpPr>
      <xdr:spPr>
        <a:xfrm>
          <a:off x="4962525" y="9639300"/>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66675</xdr:colOff>
      <xdr:row>53</xdr:row>
      <xdr:rowOff>180975</xdr:rowOff>
    </xdr:from>
    <xdr:to>
      <xdr:col>21</xdr:col>
      <xdr:colOff>180975</xdr:colOff>
      <xdr:row>61</xdr:row>
      <xdr:rowOff>0</xdr:rowOff>
    </xdr:to>
    <xdr:sp>
      <xdr:nvSpPr>
        <xdr:cNvPr id="20" name="Rectangle 20"/>
        <xdr:cNvSpPr>
          <a:spLocks/>
        </xdr:cNvSpPr>
      </xdr:nvSpPr>
      <xdr:spPr>
        <a:xfrm>
          <a:off x="5143500" y="9906000"/>
          <a:ext cx="114300" cy="1362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64</xdr:row>
      <xdr:rowOff>142875</xdr:rowOff>
    </xdr:from>
    <xdr:to>
      <xdr:col>46</xdr:col>
      <xdr:colOff>66675</xdr:colOff>
      <xdr:row>65</xdr:row>
      <xdr:rowOff>104775</xdr:rowOff>
    </xdr:to>
    <xdr:sp>
      <xdr:nvSpPr>
        <xdr:cNvPr id="21" name="Rectangle 21"/>
        <xdr:cNvSpPr>
          <a:spLocks/>
        </xdr:cNvSpPr>
      </xdr:nvSpPr>
      <xdr:spPr>
        <a:xfrm>
          <a:off x="7134225" y="12001500"/>
          <a:ext cx="37242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180975</xdr:colOff>
      <xdr:row>64</xdr:row>
      <xdr:rowOff>9525</xdr:rowOff>
    </xdr:from>
    <xdr:to>
      <xdr:col>47</xdr:col>
      <xdr:colOff>9525</xdr:colOff>
      <xdr:row>66</xdr:row>
      <xdr:rowOff>66675</xdr:rowOff>
    </xdr:to>
    <xdr:sp>
      <xdr:nvSpPr>
        <xdr:cNvPr id="22" name="AutoShape 22"/>
        <xdr:cNvSpPr>
          <a:spLocks/>
        </xdr:cNvSpPr>
      </xdr:nvSpPr>
      <xdr:spPr>
        <a:xfrm rot="5400000">
          <a:off x="10744200" y="11868150"/>
          <a:ext cx="28575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58</xdr:row>
      <xdr:rowOff>180975</xdr:rowOff>
    </xdr:from>
    <xdr:to>
      <xdr:col>21</xdr:col>
      <xdr:colOff>123825</xdr:colOff>
      <xdr:row>59</xdr:row>
      <xdr:rowOff>104775</xdr:rowOff>
    </xdr:to>
    <xdr:sp>
      <xdr:nvSpPr>
        <xdr:cNvPr id="23" name="Rectangle 23"/>
        <xdr:cNvSpPr>
          <a:spLocks/>
        </xdr:cNvSpPr>
      </xdr:nvSpPr>
      <xdr:spPr>
        <a:xfrm>
          <a:off x="3857625" y="10858500"/>
          <a:ext cx="134302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53</xdr:row>
      <xdr:rowOff>190500</xdr:rowOff>
    </xdr:from>
    <xdr:to>
      <xdr:col>16</xdr:col>
      <xdr:colOff>28575</xdr:colOff>
      <xdr:row>59</xdr:row>
      <xdr:rowOff>95250</xdr:rowOff>
    </xdr:to>
    <xdr:sp>
      <xdr:nvSpPr>
        <xdr:cNvPr id="24" name="Rectangle 24"/>
        <xdr:cNvSpPr>
          <a:spLocks/>
        </xdr:cNvSpPr>
      </xdr:nvSpPr>
      <xdr:spPr>
        <a:xfrm>
          <a:off x="3848100" y="9915525"/>
          <a:ext cx="114300" cy="10572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52</xdr:row>
      <xdr:rowOff>104775</xdr:rowOff>
    </xdr:from>
    <xdr:to>
      <xdr:col>16</xdr:col>
      <xdr:colOff>200025</xdr:colOff>
      <xdr:row>54</xdr:row>
      <xdr:rowOff>19050</xdr:rowOff>
    </xdr:to>
    <xdr:sp>
      <xdr:nvSpPr>
        <xdr:cNvPr id="25" name="AutoShape 25"/>
        <xdr:cNvSpPr>
          <a:spLocks/>
        </xdr:cNvSpPr>
      </xdr:nvSpPr>
      <xdr:spPr>
        <a:xfrm>
          <a:off x="3676650" y="9629775"/>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62</xdr:row>
      <xdr:rowOff>28575</xdr:rowOff>
    </xdr:from>
    <xdr:to>
      <xdr:col>31</xdr:col>
      <xdr:colOff>200025</xdr:colOff>
      <xdr:row>65</xdr:row>
      <xdr:rowOff>85725</xdr:rowOff>
    </xdr:to>
    <xdr:sp>
      <xdr:nvSpPr>
        <xdr:cNvPr id="26" name="Rectangle 26"/>
        <xdr:cNvSpPr>
          <a:spLocks/>
        </xdr:cNvSpPr>
      </xdr:nvSpPr>
      <xdr:spPr>
        <a:xfrm>
          <a:off x="7448550" y="11487150"/>
          <a:ext cx="114300" cy="6191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62</xdr:row>
      <xdr:rowOff>28575</xdr:rowOff>
    </xdr:from>
    <xdr:to>
      <xdr:col>46</xdr:col>
      <xdr:colOff>104775</xdr:colOff>
      <xdr:row>62</xdr:row>
      <xdr:rowOff>152400</xdr:rowOff>
    </xdr:to>
    <xdr:sp>
      <xdr:nvSpPr>
        <xdr:cNvPr id="27" name="Rectangle 27"/>
        <xdr:cNvSpPr>
          <a:spLocks/>
        </xdr:cNvSpPr>
      </xdr:nvSpPr>
      <xdr:spPr>
        <a:xfrm>
          <a:off x="7448550" y="11487150"/>
          <a:ext cx="344805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161925</xdr:colOff>
      <xdr:row>61</xdr:row>
      <xdr:rowOff>85725</xdr:rowOff>
    </xdr:from>
    <xdr:to>
      <xdr:col>46</xdr:col>
      <xdr:colOff>219075</xdr:colOff>
      <xdr:row>63</xdr:row>
      <xdr:rowOff>66675</xdr:rowOff>
    </xdr:to>
    <xdr:sp>
      <xdr:nvSpPr>
        <xdr:cNvPr id="28" name="AutoShape 28"/>
        <xdr:cNvSpPr>
          <a:spLocks/>
        </xdr:cNvSpPr>
      </xdr:nvSpPr>
      <xdr:spPr>
        <a:xfrm rot="5400000">
          <a:off x="10725150" y="11353800"/>
          <a:ext cx="285750" cy="3714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101</xdr:row>
      <xdr:rowOff>161925</xdr:rowOff>
    </xdr:from>
    <xdr:to>
      <xdr:col>19</xdr:col>
      <xdr:colOff>0</xdr:colOff>
      <xdr:row>104</xdr:row>
      <xdr:rowOff>19050</xdr:rowOff>
    </xdr:to>
    <xdr:sp>
      <xdr:nvSpPr>
        <xdr:cNvPr id="29" name="AutoShape 29"/>
        <xdr:cNvSpPr>
          <a:spLocks/>
        </xdr:cNvSpPr>
      </xdr:nvSpPr>
      <xdr:spPr>
        <a:xfrm rot="5400000">
          <a:off x="4305300" y="19021425"/>
          <a:ext cx="314325" cy="4476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106</xdr:row>
      <xdr:rowOff>28575</xdr:rowOff>
    </xdr:from>
    <xdr:to>
      <xdr:col>18</xdr:col>
      <xdr:colOff>219075</xdr:colOff>
      <xdr:row>108</xdr:row>
      <xdr:rowOff>9525</xdr:rowOff>
    </xdr:to>
    <xdr:sp>
      <xdr:nvSpPr>
        <xdr:cNvPr id="30" name="AutoShape 30"/>
        <xdr:cNvSpPr>
          <a:spLocks/>
        </xdr:cNvSpPr>
      </xdr:nvSpPr>
      <xdr:spPr>
        <a:xfrm rot="5400000">
          <a:off x="4305300" y="19802475"/>
          <a:ext cx="30480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106</xdr:row>
      <xdr:rowOff>180975</xdr:rowOff>
    </xdr:from>
    <xdr:to>
      <xdr:col>17</xdr:col>
      <xdr:colOff>180975</xdr:colOff>
      <xdr:row>107</xdr:row>
      <xdr:rowOff>76200</xdr:rowOff>
    </xdr:to>
    <xdr:sp>
      <xdr:nvSpPr>
        <xdr:cNvPr id="31" name="Rectangle 31"/>
        <xdr:cNvSpPr>
          <a:spLocks/>
        </xdr:cNvSpPr>
      </xdr:nvSpPr>
      <xdr:spPr>
        <a:xfrm>
          <a:off x="3276600" y="19954875"/>
          <a:ext cx="106680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102</xdr:row>
      <xdr:rowOff>152400</xdr:rowOff>
    </xdr:from>
    <xdr:to>
      <xdr:col>17</xdr:col>
      <xdr:colOff>133350</xdr:colOff>
      <xdr:row>103</xdr:row>
      <xdr:rowOff>66675</xdr:rowOff>
    </xdr:to>
    <xdr:sp>
      <xdr:nvSpPr>
        <xdr:cNvPr id="32" name="Rectangle 32"/>
        <xdr:cNvSpPr>
          <a:spLocks/>
        </xdr:cNvSpPr>
      </xdr:nvSpPr>
      <xdr:spPr>
        <a:xfrm>
          <a:off x="3248025" y="19202400"/>
          <a:ext cx="1047750"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114300</xdr:colOff>
      <xdr:row>92</xdr:row>
      <xdr:rowOff>114300</xdr:rowOff>
    </xdr:from>
    <xdr:to>
      <xdr:col>22</xdr:col>
      <xdr:colOff>114300</xdr:colOff>
      <xdr:row>94</xdr:row>
      <xdr:rowOff>28575</xdr:rowOff>
    </xdr:to>
    <xdr:sp>
      <xdr:nvSpPr>
        <xdr:cNvPr id="33" name="AutoShape 33"/>
        <xdr:cNvSpPr>
          <a:spLocks/>
        </xdr:cNvSpPr>
      </xdr:nvSpPr>
      <xdr:spPr>
        <a:xfrm>
          <a:off x="4962525" y="17230725"/>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66675</xdr:colOff>
      <xdr:row>93</xdr:row>
      <xdr:rowOff>180975</xdr:rowOff>
    </xdr:from>
    <xdr:to>
      <xdr:col>21</xdr:col>
      <xdr:colOff>180975</xdr:colOff>
      <xdr:row>101</xdr:row>
      <xdr:rowOff>0</xdr:rowOff>
    </xdr:to>
    <xdr:sp>
      <xdr:nvSpPr>
        <xdr:cNvPr id="34" name="Rectangle 34"/>
        <xdr:cNvSpPr>
          <a:spLocks/>
        </xdr:cNvSpPr>
      </xdr:nvSpPr>
      <xdr:spPr>
        <a:xfrm>
          <a:off x="5143500" y="17497425"/>
          <a:ext cx="114300" cy="1362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104</xdr:row>
      <xdr:rowOff>142875</xdr:rowOff>
    </xdr:from>
    <xdr:to>
      <xdr:col>46</xdr:col>
      <xdr:colOff>66675</xdr:colOff>
      <xdr:row>105</xdr:row>
      <xdr:rowOff>104775</xdr:rowOff>
    </xdr:to>
    <xdr:sp>
      <xdr:nvSpPr>
        <xdr:cNvPr id="35" name="Rectangle 35"/>
        <xdr:cNvSpPr>
          <a:spLocks/>
        </xdr:cNvSpPr>
      </xdr:nvSpPr>
      <xdr:spPr>
        <a:xfrm>
          <a:off x="7134225" y="19592925"/>
          <a:ext cx="37242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180975</xdr:colOff>
      <xdr:row>104</xdr:row>
      <xdr:rowOff>9525</xdr:rowOff>
    </xdr:from>
    <xdr:to>
      <xdr:col>47</xdr:col>
      <xdr:colOff>9525</xdr:colOff>
      <xdr:row>106</xdr:row>
      <xdr:rowOff>66675</xdr:rowOff>
    </xdr:to>
    <xdr:sp>
      <xdr:nvSpPr>
        <xdr:cNvPr id="36" name="AutoShape 36"/>
        <xdr:cNvSpPr>
          <a:spLocks/>
        </xdr:cNvSpPr>
      </xdr:nvSpPr>
      <xdr:spPr>
        <a:xfrm rot="5400000">
          <a:off x="10744200" y="19459575"/>
          <a:ext cx="285750" cy="381000"/>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98</xdr:row>
      <xdr:rowOff>180975</xdr:rowOff>
    </xdr:from>
    <xdr:to>
      <xdr:col>21</xdr:col>
      <xdr:colOff>123825</xdr:colOff>
      <xdr:row>99</xdr:row>
      <xdr:rowOff>104775</xdr:rowOff>
    </xdr:to>
    <xdr:sp>
      <xdr:nvSpPr>
        <xdr:cNvPr id="37" name="Rectangle 37"/>
        <xdr:cNvSpPr>
          <a:spLocks/>
        </xdr:cNvSpPr>
      </xdr:nvSpPr>
      <xdr:spPr>
        <a:xfrm>
          <a:off x="3857625" y="18449925"/>
          <a:ext cx="134302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93</xdr:row>
      <xdr:rowOff>190500</xdr:rowOff>
    </xdr:from>
    <xdr:to>
      <xdr:col>16</xdr:col>
      <xdr:colOff>28575</xdr:colOff>
      <xdr:row>99</xdr:row>
      <xdr:rowOff>95250</xdr:rowOff>
    </xdr:to>
    <xdr:sp>
      <xdr:nvSpPr>
        <xdr:cNvPr id="38" name="Rectangle 38"/>
        <xdr:cNvSpPr>
          <a:spLocks/>
        </xdr:cNvSpPr>
      </xdr:nvSpPr>
      <xdr:spPr>
        <a:xfrm>
          <a:off x="3848100" y="17506950"/>
          <a:ext cx="114300" cy="10572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92</xdr:row>
      <xdr:rowOff>104775</xdr:rowOff>
    </xdr:from>
    <xdr:to>
      <xdr:col>16</xdr:col>
      <xdr:colOff>200025</xdr:colOff>
      <xdr:row>94</xdr:row>
      <xdr:rowOff>19050</xdr:rowOff>
    </xdr:to>
    <xdr:sp>
      <xdr:nvSpPr>
        <xdr:cNvPr id="39" name="AutoShape 39"/>
        <xdr:cNvSpPr>
          <a:spLocks/>
        </xdr:cNvSpPr>
      </xdr:nvSpPr>
      <xdr:spPr>
        <a:xfrm>
          <a:off x="3676650" y="17221200"/>
          <a:ext cx="457200" cy="31432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102</xdr:row>
      <xdr:rowOff>28575</xdr:rowOff>
    </xdr:from>
    <xdr:to>
      <xdr:col>31</xdr:col>
      <xdr:colOff>200025</xdr:colOff>
      <xdr:row>105</xdr:row>
      <xdr:rowOff>85725</xdr:rowOff>
    </xdr:to>
    <xdr:sp>
      <xdr:nvSpPr>
        <xdr:cNvPr id="40" name="Rectangle 40"/>
        <xdr:cNvSpPr>
          <a:spLocks/>
        </xdr:cNvSpPr>
      </xdr:nvSpPr>
      <xdr:spPr>
        <a:xfrm>
          <a:off x="7448550" y="19078575"/>
          <a:ext cx="114300" cy="6191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102</xdr:row>
      <xdr:rowOff>28575</xdr:rowOff>
    </xdr:from>
    <xdr:to>
      <xdr:col>46</xdr:col>
      <xdr:colOff>104775</xdr:colOff>
      <xdr:row>102</xdr:row>
      <xdr:rowOff>152400</xdr:rowOff>
    </xdr:to>
    <xdr:sp>
      <xdr:nvSpPr>
        <xdr:cNvPr id="41" name="Rectangle 41"/>
        <xdr:cNvSpPr>
          <a:spLocks/>
        </xdr:cNvSpPr>
      </xdr:nvSpPr>
      <xdr:spPr>
        <a:xfrm>
          <a:off x="7448550" y="19078575"/>
          <a:ext cx="344805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161925</xdr:colOff>
      <xdr:row>101</xdr:row>
      <xdr:rowOff>85725</xdr:rowOff>
    </xdr:from>
    <xdr:to>
      <xdr:col>46</xdr:col>
      <xdr:colOff>219075</xdr:colOff>
      <xdr:row>103</xdr:row>
      <xdr:rowOff>66675</xdr:rowOff>
    </xdr:to>
    <xdr:sp>
      <xdr:nvSpPr>
        <xdr:cNvPr id="42" name="AutoShape 42"/>
        <xdr:cNvSpPr>
          <a:spLocks/>
        </xdr:cNvSpPr>
      </xdr:nvSpPr>
      <xdr:spPr>
        <a:xfrm rot="5400000">
          <a:off x="10725150" y="18945225"/>
          <a:ext cx="285750" cy="3714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showGridLines="0" zoomScale="75" zoomScaleNormal="75" workbookViewId="0" topLeftCell="A1">
      <selection activeCell="A1" sqref="A1"/>
    </sheetView>
  </sheetViews>
  <sheetFormatPr defaultColWidth="9.140625" defaultRowHeight="12.75"/>
  <cols>
    <col min="1" max="1" width="86.28125" style="105" customWidth="1"/>
    <col min="2" max="16384" width="9.140625" style="105" customWidth="1"/>
  </cols>
  <sheetData>
    <row r="1" ht="23.25">
      <c r="A1" s="104"/>
    </row>
    <row r="2" ht="23.25">
      <c r="A2" s="106" t="s">
        <v>137</v>
      </c>
    </row>
    <row r="3" ht="23.25">
      <c r="A3" s="106" t="s">
        <v>267</v>
      </c>
    </row>
    <row r="4" ht="23.25">
      <c r="A4" s="107"/>
    </row>
    <row r="5" ht="23.25">
      <c r="A5" s="107"/>
    </row>
    <row r="6" ht="23.25">
      <c r="A6" s="106" t="s">
        <v>138</v>
      </c>
    </row>
    <row r="7" ht="23.25">
      <c r="A7" s="107"/>
    </row>
    <row r="8" ht="23.25">
      <c r="A8" s="107"/>
    </row>
    <row r="9" ht="23.25">
      <c r="A9" s="106"/>
    </row>
    <row r="10" ht="23.25">
      <c r="A10" s="106"/>
    </row>
    <row r="11" ht="23.25">
      <c r="A11" s="106"/>
    </row>
    <row r="12" ht="23.25">
      <c r="A12" s="106"/>
    </row>
    <row r="13" ht="23.25">
      <c r="A13" s="106"/>
    </row>
    <row r="14" ht="23.25">
      <c r="A14" s="106"/>
    </row>
    <row r="15" ht="23.25">
      <c r="A15" s="106"/>
    </row>
    <row r="16" ht="23.25">
      <c r="A16" s="106" t="s">
        <v>139</v>
      </c>
    </row>
    <row r="17" ht="23.25">
      <c r="A17" s="106"/>
    </row>
    <row r="18" ht="20.25">
      <c r="A18" s="306" t="s">
        <v>271</v>
      </c>
    </row>
    <row r="19" ht="20.25">
      <c r="A19" s="306" t="s">
        <v>273</v>
      </c>
    </row>
    <row r="20" ht="20.25">
      <c r="A20" s="306" t="s">
        <v>274</v>
      </c>
    </row>
    <row r="21" ht="20.25">
      <c r="A21" s="306" t="s">
        <v>272</v>
      </c>
    </row>
    <row r="22" ht="12.75">
      <c r="A22" s="108"/>
    </row>
    <row r="23" ht="23.25">
      <c r="A23" s="106"/>
    </row>
    <row r="24" ht="23.25">
      <c r="A24" s="106"/>
    </row>
    <row r="25" ht="23.25">
      <c r="A25" s="106"/>
    </row>
    <row r="26" ht="23.25">
      <c r="A26" s="106"/>
    </row>
    <row r="27" ht="23.25">
      <c r="A27" s="106"/>
    </row>
    <row r="28" ht="23.25">
      <c r="A28" s="106"/>
    </row>
    <row r="29" ht="23.25">
      <c r="A29" s="106"/>
    </row>
    <row r="30" ht="12.75">
      <c r="A30" s="109"/>
    </row>
  </sheetData>
  <printOptions horizontalCentered="1"/>
  <pageMargins left="1.1811023622047245" right="0.5905511811023623" top="1.1811023622047245"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F120"/>
  <sheetViews>
    <sheetView showGridLines="0" zoomScale="75" zoomScaleNormal="75" workbookViewId="0" topLeftCell="A1">
      <selection activeCell="A1" sqref="A1:AU1"/>
    </sheetView>
  </sheetViews>
  <sheetFormatPr defaultColWidth="9.140625" defaultRowHeight="12.75"/>
  <cols>
    <col min="1" max="1" width="5.421875" style="127" customWidth="1"/>
    <col min="2" max="10" width="3.421875" style="127" customWidth="1"/>
    <col min="11" max="11" width="3.28125" style="127" customWidth="1"/>
    <col min="12" max="12" width="5.7109375" style="127" customWidth="1"/>
    <col min="13" max="47" width="3.421875" style="127" customWidth="1"/>
    <col min="48" max="49" width="7.57421875" style="127" customWidth="1"/>
    <col min="50" max="50" width="6.7109375" style="127" customWidth="1"/>
    <col min="51" max="16384" width="3.421875" style="127" customWidth="1"/>
  </cols>
  <sheetData>
    <row r="1" spans="1:49" ht="19.5" customHeight="1">
      <c r="A1" s="332" t="s">
        <v>220</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243">
        <v>10</v>
      </c>
      <c r="AW1" s="171" t="s">
        <v>187</v>
      </c>
    </row>
    <row r="2" spans="1:58" ht="19.5" customHeight="1">
      <c r="A2" s="332" t="str">
        <f>"CONDIZIONE DI FUNZIONAMENTO "&amp;AV2&amp;AW2&amp;IF(AX2&gt;0," (Lo stesso schema vale anche per la condizione "&amp;AX2&amp;")","")</f>
        <v>CONDIZIONE DI FUNZIONAMENTO 9A (Lo stesso schema vale anche per la condizione 10)</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244">
        <f>VLOOKUP($AV1,DbCasi,Pot!$B$39)</f>
        <v>9</v>
      </c>
      <c r="AW2" s="242" t="str">
        <f>IF(VLOOKUP($AV1,DbCasi,Pot!$C$39)&lt;&gt;0,VLOOKUP($AV1,DbCasi,Pot!$C$39),"")</f>
        <v>A</v>
      </c>
      <c r="AX2" s="237">
        <v>10</v>
      </c>
      <c r="AY2" s="238" t="s">
        <v>226</v>
      </c>
      <c r="AZ2" s="239"/>
      <c r="BA2" s="239"/>
      <c r="BB2" s="239"/>
      <c r="BC2" s="239"/>
      <c r="BD2" s="239"/>
      <c r="BE2" s="239"/>
      <c r="BF2" s="240"/>
    </row>
    <row r="3" spans="1:47" ht="19.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row>
    <row r="4" spans="1:51" ht="19.5" customHeight="1">
      <c r="A4" s="334" t="str">
        <f>"Regolazione : "&amp;AY4&amp;IF(AV4=4,"","  -  Carico del motore : "&amp;TEXT(AW4*100,"00,0")&amp;"%")</f>
        <v>Regolazione : Motore a carico minimo  -  Carico del motore : 50,0%</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229">
        <f>VLOOKUP($AV1,DbCasi,Pot!$H$9+1)</f>
        <v>5</v>
      </c>
      <c r="AW4" s="230">
        <f>VLOOKUP($AV1,DbCasi,Pot!$I$9+1)</f>
        <v>0.5</v>
      </c>
      <c r="AY4" s="127" t="str">
        <f>CHOOSE(AV4,"Carico Elettrico Comanda","Carico Termico Comanda","","Motore a carico massimo","Motore a carico minimo")</f>
        <v>Motore a carico minimo</v>
      </c>
    </row>
    <row r="5" spans="1:47" ht="19.5" customHeight="1">
      <c r="A5" s="331" t="s">
        <v>259</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row>
    <row r="6" spans="1:47" ht="19.5" customHeight="1">
      <c r="A6" s="331" t="s">
        <v>266</v>
      </c>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row>
    <row r="7" spans="1:47" ht="19.5" customHeight="1" hidden="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row>
    <row r="8" spans="1:47" ht="19.5" customHeight="1" hidden="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row>
    <row r="9" spans="1:47" ht="19.5" customHeight="1" hidden="1">
      <c r="A9" s="126"/>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row>
    <row r="10" spans="1:47" ht="19.5" customHeight="1" hidden="1">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row>
    <row r="11" ht="19.5" customHeight="1"/>
    <row r="12" spans="1:47" ht="15.75">
      <c r="A12" s="333"/>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row>
    <row r="13" ht="15.75">
      <c r="A13" s="128"/>
    </row>
    <row r="14" ht="15.75">
      <c r="A14" s="128"/>
    </row>
    <row r="15" ht="12.75" customHeight="1"/>
    <row r="16" spans="15:26" ht="18">
      <c r="O16" s="170" t="s">
        <v>157</v>
      </c>
      <c r="W16" s="169" t="s">
        <v>156</v>
      </c>
      <c r="X16" s="129"/>
      <c r="Y16" s="129"/>
      <c r="Z16" s="129"/>
    </row>
    <row r="17" spans="9:29" ht="15.75">
      <c r="I17" s="337">
        <f>VLOOKUP($AV$1,DbCasi,Pot!$T$9+1)</f>
        <v>100</v>
      </c>
      <c r="J17" s="337"/>
      <c r="K17" s="138" t="s">
        <v>161</v>
      </c>
      <c r="AA17" s="337">
        <f>VLOOKUP($AV$1,DbCasi,Pot!$Q$9+1)</f>
        <v>450</v>
      </c>
      <c r="AB17" s="337"/>
      <c r="AC17" s="130" t="s">
        <v>161</v>
      </c>
    </row>
    <row r="18" spans="23:35" ht="12.75" customHeight="1">
      <c r="W18" s="128" t="str">
        <f>TEXT(AA17,"#.##0")&amp;" kW x "&amp;Testo!$J$77&amp;" Euro/kWh = "</f>
        <v>450 kW x 0,039 Euro/kWh = </v>
      </c>
      <c r="AG18" s="383">
        <f>ROUND(AA17*Testo!$J$77,1)</f>
        <v>17.6</v>
      </c>
      <c r="AH18" s="383"/>
      <c r="AI18" s="130" t="s">
        <v>165</v>
      </c>
    </row>
    <row r="19" ht="15.75" customHeight="1"/>
    <row r="20" ht="18">
      <c r="AG20" s="134" t="s">
        <v>162</v>
      </c>
    </row>
    <row r="21" spans="37:39" ht="12.75" customHeight="1" thickBot="1">
      <c r="AK21" s="337">
        <f>VLOOKUP($AV$1,DbCasi,Pot!$P$9+1)</f>
        <v>50</v>
      </c>
      <c r="AL21" s="337"/>
      <c r="AM21" s="130" t="s">
        <v>161</v>
      </c>
    </row>
    <row r="22" spans="14:48" ht="15" customHeight="1">
      <c r="N22" s="384" t="s">
        <v>144</v>
      </c>
      <c r="O22" s="384"/>
      <c r="P22" s="384"/>
      <c r="Q22" s="384"/>
      <c r="R22" s="384"/>
      <c r="T22" s="131"/>
      <c r="U22" s="132"/>
      <c r="V22" s="132"/>
      <c r="W22" s="132"/>
      <c r="X22" s="132"/>
      <c r="Y22" s="132"/>
      <c r="Z22" s="132"/>
      <c r="AA22" s="132"/>
      <c r="AB22" s="132"/>
      <c r="AC22" s="132"/>
      <c r="AD22" s="133"/>
      <c r="AE22" s="134"/>
      <c r="AG22" s="128" t="str">
        <f>TEXT(AK21,"#.##0")&amp;" kW x "&amp;TEXT(Testo!$J$75,"0,00")&amp;" Euro/kWh = "</f>
        <v>50 kW x 0,07 Euro/kWh = </v>
      </c>
      <c r="AP22" s="383">
        <f>ROUND(AK21*Testo!$J$75,1)</f>
        <v>3.5</v>
      </c>
      <c r="AQ22" s="383"/>
      <c r="AR22" s="130" t="s">
        <v>165</v>
      </c>
      <c r="AV22" s="136"/>
    </row>
    <row r="23" spans="1:48" ht="15.75" customHeight="1">
      <c r="A23" s="130" t="str">
        <f>TEXT(AA29,"#.##0")&amp;"kW / "&amp;Testo!$J$10&amp;" kWh/Sm3 = "</f>
        <v>1.250kW / 9,59 kWh/Sm3 = </v>
      </c>
      <c r="B23" s="130"/>
      <c r="C23" s="130"/>
      <c r="D23" s="130"/>
      <c r="E23" s="130"/>
      <c r="F23" s="130"/>
      <c r="G23" s="130"/>
      <c r="H23" s="130"/>
      <c r="I23" s="130"/>
      <c r="J23" s="333">
        <f>AA29/Testo!$J$10</f>
        <v>130.34410844629824</v>
      </c>
      <c r="K23" s="333"/>
      <c r="L23" s="130" t="s">
        <v>164</v>
      </c>
      <c r="N23" s="384"/>
      <c r="O23" s="384"/>
      <c r="P23" s="384"/>
      <c r="Q23" s="384"/>
      <c r="R23" s="384"/>
      <c r="T23" s="135"/>
      <c r="U23" s="335" t="s">
        <v>145</v>
      </c>
      <c r="V23" s="336"/>
      <c r="W23" s="336"/>
      <c r="X23" s="336"/>
      <c r="Y23" s="336"/>
      <c r="Z23" s="336"/>
      <c r="AA23" s="336"/>
      <c r="AB23" s="336"/>
      <c r="AC23" s="336"/>
      <c r="AD23" s="137"/>
      <c r="AV23" s="136"/>
    </row>
    <row r="24" spans="1:48" ht="15.75" customHeight="1">
      <c r="A24" s="130" t="str">
        <f>TEXT(J23,"000")&amp;"Sm3/h x "&amp;Testo!$J$15&amp;" Euro/Sm3 = "</f>
        <v>130Sm3/h x 0,3 Euro/Sm3 = </v>
      </c>
      <c r="B24" s="138"/>
      <c r="C24" s="138"/>
      <c r="D24" s="138"/>
      <c r="E24" s="138"/>
      <c r="F24" s="138"/>
      <c r="G24" s="138"/>
      <c r="H24" s="138"/>
      <c r="I24" s="138"/>
      <c r="J24" s="333">
        <f>ROUND(J23*Testo!$J$15,1)</f>
        <v>39.1</v>
      </c>
      <c r="K24" s="333"/>
      <c r="L24" s="130" t="s">
        <v>165</v>
      </c>
      <c r="T24" s="135"/>
      <c r="U24" s="336"/>
      <c r="V24" s="336"/>
      <c r="W24" s="336"/>
      <c r="X24" s="336"/>
      <c r="Y24" s="336"/>
      <c r="Z24" s="336"/>
      <c r="AA24" s="336"/>
      <c r="AB24" s="336"/>
      <c r="AC24" s="336"/>
      <c r="AD24" s="137"/>
      <c r="AV24" s="136"/>
    </row>
    <row r="25" spans="1:48" ht="12.75" customHeight="1">
      <c r="A25" s="138"/>
      <c r="B25" s="138"/>
      <c r="C25" s="138"/>
      <c r="D25" s="138"/>
      <c r="E25" s="138"/>
      <c r="F25" s="138"/>
      <c r="G25" s="138"/>
      <c r="H25" s="138"/>
      <c r="I25" s="138"/>
      <c r="J25" s="138"/>
      <c r="K25" s="138"/>
      <c r="L25" s="138"/>
      <c r="T25" s="135"/>
      <c r="U25" s="336"/>
      <c r="V25" s="336"/>
      <c r="W25" s="336"/>
      <c r="X25" s="336"/>
      <c r="Y25" s="336"/>
      <c r="Z25" s="336"/>
      <c r="AA25" s="336"/>
      <c r="AB25" s="336"/>
      <c r="AC25" s="336"/>
      <c r="AD25" s="137"/>
      <c r="AV25" s="136"/>
    </row>
    <row r="26" spans="20:48" ht="12.75">
      <c r="T26" s="135"/>
      <c r="U26" s="336"/>
      <c r="V26" s="336"/>
      <c r="W26" s="336"/>
      <c r="X26" s="336"/>
      <c r="Y26" s="336"/>
      <c r="Z26" s="336"/>
      <c r="AA26" s="336"/>
      <c r="AB26" s="336"/>
      <c r="AC26" s="336"/>
      <c r="AD26" s="137"/>
      <c r="AV26" s="136"/>
    </row>
    <row r="27" spans="1:48" ht="15.75" customHeight="1">
      <c r="A27" s="333" t="str">
        <f>TEXT(AA27,"#.##0")&amp;" kW x "&amp;Testo!$J$17&amp;" Euro/kWh = "</f>
        <v>500 kW x 0,011 Euro/kWh = </v>
      </c>
      <c r="B27" s="333"/>
      <c r="C27" s="333"/>
      <c r="D27" s="333"/>
      <c r="E27" s="333"/>
      <c r="F27" s="333"/>
      <c r="G27" s="333"/>
      <c r="H27" s="333"/>
      <c r="I27" s="333"/>
      <c r="J27" s="383">
        <f>ROUND(AA27*Testo!$J$17,1)</f>
        <v>5.5</v>
      </c>
      <c r="K27" s="383"/>
      <c r="L27" s="390" t="s">
        <v>165</v>
      </c>
      <c r="M27" s="390"/>
      <c r="T27" s="177" t="s">
        <v>158</v>
      </c>
      <c r="U27" s="136"/>
      <c r="V27" s="136"/>
      <c r="W27" s="136"/>
      <c r="X27" s="136"/>
      <c r="Y27" s="136"/>
      <c r="Z27" s="136"/>
      <c r="AA27" s="386">
        <f>VLOOKUP($AV$1,DbCasi,Pot!$J$9+1)</f>
        <v>500</v>
      </c>
      <c r="AB27" s="386"/>
      <c r="AC27" s="176" t="s">
        <v>141</v>
      </c>
      <c r="AD27" s="137"/>
      <c r="AG27" s="134" t="s">
        <v>163</v>
      </c>
      <c r="AV27" s="136"/>
    </row>
    <row r="28" spans="1:39" ht="15.75" customHeight="1">
      <c r="A28" s="333"/>
      <c r="B28" s="333"/>
      <c r="C28" s="333"/>
      <c r="D28" s="333"/>
      <c r="E28" s="333"/>
      <c r="F28" s="333"/>
      <c r="G28" s="333"/>
      <c r="H28" s="333"/>
      <c r="I28" s="333"/>
      <c r="J28" s="383"/>
      <c r="K28" s="383"/>
      <c r="L28" s="390"/>
      <c r="M28" s="390"/>
      <c r="N28" s="385" t="s">
        <v>146</v>
      </c>
      <c r="O28" s="385"/>
      <c r="P28" s="385"/>
      <c r="Q28" s="385"/>
      <c r="R28" s="385"/>
      <c r="T28" s="177" t="s">
        <v>159</v>
      </c>
      <c r="U28" s="136"/>
      <c r="V28" s="136"/>
      <c r="W28" s="136"/>
      <c r="X28" s="136"/>
      <c r="Y28" s="136"/>
      <c r="Z28" s="136"/>
      <c r="AA28" s="386">
        <f>VLOOKUP($AV$1,DbCasi,Pot!$K$9+1)</f>
        <v>550</v>
      </c>
      <c r="AB28" s="386"/>
      <c r="AC28" s="176" t="s">
        <v>141</v>
      </c>
      <c r="AD28" s="137"/>
      <c r="AK28" s="337">
        <f>VLOOKUP($AV$1,DbCasi,Pot!$N$9+1)</f>
        <v>450</v>
      </c>
      <c r="AL28" s="337"/>
      <c r="AM28" s="130" t="s">
        <v>161</v>
      </c>
    </row>
    <row r="29" spans="14:44" ht="15.75" customHeight="1">
      <c r="N29" s="385"/>
      <c r="O29" s="385"/>
      <c r="P29" s="385"/>
      <c r="Q29" s="385"/>
      <c r="R29" s="385"/>
      <c r="T29" s="177" t="s">
        <v>160</v>
      </c>
      <c r="U29" s="136"/>
      <c r="V29" s="136"/>
      <c r="W29" s="136"/>
      <c r="X29" s="136"/>
      <c r="Y29" s="136"/>
      <c r="Z29" s="136"/>
      <c r="AA29" s="386">
        <f>VLOOKUP($AV$1,DbCasi,Pot!$L$9+1)</f>
        <v>1250</v>
      </c>
      <c r="AB29" s="386"/>
      <c r="AC29" s="176" t="s">
        <v>141</v>
      </c>
      <c r="AD29" s="137"/>
      <c r="AG29" s="128" t="str">
        <f>TEXT(AK28,"#.##0")&amp;" kW x "&amp;TEXT(Testo!$J$74,"0,00")&amp;" Euro/kWh = "</f>
        <v>450 kW x 0,10 Euro/kWh = </v>
      </c>
      <c r="AP29" s="383">
        <f>ROUND(AK28*Testo!$J$74,0)</f>
        <v>45</v>
      </c>
      <c r="AQ29" s="383"/>
      <c r="AR29" s="130" t="s">
        <v>165</v>
      </c>
    </row>
    <row r="30" spans="20:31" ht="15.75" customHeight="1" thickBot="1">
      <c r="T30" s="139"/>
      <c r="U30" s="140"/>
      <c r="V30" s="140"/>
      <c r="W30" s="140"/>
      <c r="X30" s="140"/>
      <c r="Y30" s="140"/>
      <c r="Z30" s="140"/>
      <c r="AA30" s="140"/>
      <c r="AB30" s="140"/>
      <c r="AC30" s="140"/>
      <c r="AD30" s="141"/>
      <c r="AE30" s="128"/>
    </row>
    <row r="31" spans="20:31" ht="15.75" customHeight="1">
      <c r="T31" s="136"/>
      <c r="U31" s="136"/>
      <c r="V31" s="136"/>
      <c r="W31" s="136"/>
      <c r="X31" s="136"/>
      <c r="Y31" s="136"/>
      <c r="Z31" s="136"/>
      <c r="AA31" s="136"/>
      <c r="AB31" s="136"/>
      <c r="AC31" s="136"/>
      <c r="AD31" s="136"/>
      <c r="AE31" s="128"/>
    </row>
    <row r="32" spans="20:31" ht="15.75" customHeight="1">
      <c r="T32" s="136"/>
      <c r="U32" s="136"/>
      <c r="V32" s="136"/>
      <c r="W32" s="136"/>
      <c r="X32" s="136"/>
      <c r="Y32" s="136"/>
      <c r="Z32" s="136"/>
      <c r="AA32" s="136"/>
      <c r="AB32" s="136"/>
      <c r="AC32" s="136"/>
      <c r="AD32" s="136"/>
      <c r="AE32" s="128"/>
    </row>
    <row r="33" spans="1:46" ht="18" customHeight="1">
      <c r="A33" s="142"/>
      <c r="B33" s="186" t="s">
        <v>171</v>
      </c>
      <c r="C33" s="187"/>
      <c r="D33" s="187"/>
      <c r="E33" s="187"/>
      <c r="F33" s="187"/>
      <c r="G33" s="187"/>
      <c r="H33" s="187"/>
      <c r="I33" s="187"/>
      <c r="J33" s="187"/>
      <c r="K33" s="187"/>
      <c r="L33" s="187"/>
      <c r="M33" s="187"/>
      <c r="N33" s="187"/>
      <c r="O33" s="187"/>
      <c r="P33" s="187"/>
      <c r="Q33" s="187"/>
      <c r="R33" s="187"/>
      <c r="S33" s="187"/>
      <c r="T33" s="187"/>
      <c r="U33" s="187"/>
      <c r="V33" s="187"/>
      <c r="W33" s="187"/>
      <c r="X33" s="187"/>
      <c r="Y33" s="188"/>
      <c r="Z33" s="387" t="s">
        <v>168</v>
      </c>
      <c r="AA33" s="388"/>
      <c r="AB33" s="388"/>
      <c r="AC33" s="388"/>
      <c r="AD33" s="388"/>
      <c r="AE33" s="388"/>
      <c r="AF33" s="389"/>
      <c r="AG33" s="387" t="s">
        <v>169</v>
      </c>
      <c r="AH33" s="388"/>
      <c r="AI33" s="388"/>
      <c r="AJ33" s="388"/>
      <c r="AK33" s="388"/>
      <c r="AL33" s="388"/>
      <c r="AM33" s="389"/>
      <c r="AN33" s="400" t="s">
        <v>198</v>
      </c>
      <c r="AO33" s="401"/>
      <c r="AP33" s="401"/>
      <c r="AQ33" s="401"/>
      <c r="AR33" s="401"/>
      <c r="AS33" s="401"/>
      <c r="AT33" s="402"/>
    </row>
    <row r="34" spans="1:46" ht="18">
      <c r="A34" s="143"/>
      <c r="B34" s="191" t="str">
        <f>Eco!$B$11</f>
        <v> - ricavi da energia elettrica cogenerata vs. stabilimento</v>
      </c>
      <c r="C34" s="178"/>
      <c r="D34" s="179"/>
      <c r="E34" s="179"/>
      <c r="F34" s="179"/>
      <c r="G34" s="179"/>
      <c r="H34" s="179"/>
      <c r="I34" s="179"/>
      <c r="J34" s="179"/>
      <c r="K34" s="179"/>
      <c r="L34" s="179"/>
      <c r="M34" s="179"/>
      <c r="N34" s="179"/>
      <c r="O34" s="179"/>
      <c r="P34" s="179"/>
      <c r="Q34" s="179"/>
      <c r="R34" s="179"/>
      <c r="S34" s="179"/>
      <c r="T34" s="179"/>
      <c r="U34" s="179"/>
      <c r="V34" s="179"/>
      <c r="W34" s="179"/>
      <c r="X34" s="179"/>
      <c r="Y34" s="180"/>
      <c r="Z34" s="391">
        <f>AP29</f>
        <v>45</v>
      </c>
      <c r="AA34" s="392"/>
      <c r="AB34" s="392"/>
      <c r="AC34" s="392"/>
      <c r="AD34" s="392"/>
      <c r="AE34" s="189"/>
      <c r="AF34" s="190"/>
      <c r="AG34" s="391"/>
      <c r="AH34" s="392"/>
      <c r="AI34" s="392"/>
      <c r="AJ34" s="392"/>
      <c r="AK34" s="392"/>
      <c r="AL34" s="189"/>
      <c r="AM34" s="190"/>
      <c r="AN34" s="403"/>
      <c r="AO34" s="404"/>
      <c r="AP34" s="404"/>
      <c r="AQ34" s="404"/>
      <c r="AR34" s="404"/>
      <c r="AS34" s="404"/>
      <c r="AT34" s="405"/>
    </row>
    <row r="35" spans="1:46" ht="18">
      <c r="A35" s="143"/>
      <c r="B35" s="191" t="str">
        <f>Eco!$B$12</f>
        <v> - ricavi da energia elettrica esportata</v>
      </c>
      <c r="C35" s="179"/>
      <c r="D35" s="179"/>
      <c r="E35" s="179"/>
      <c r="F35" s="179"/>
      <c r="G35" s="179"/>
      <c r="H35" s="179"/>
      <c r="I35" s="179"/>
      <c r="J35" s="179"/>
      <c r="K35" s="179"/>
      <c r="L35" s="179"/>
      <c r="M35" s="179"/>
      <c r="N35" s="179"/>
      <c r="O35" s="179"/>
      <c r="P35" s="179"/>
      <c r="Q35" s="179"/>
      <c r="R35" s="179"/>
      <c r="S35" s="179"/>
      <c r="T35" s="179"/>
      <c r="U35" s="179"/>
      <c r="V35" s="179"/>
      <c r="W35" s="179"/>
      <c r="X35" s="179"/>
      <c r="Y35" s="180"/>
      <c r="Z35" s="391">
        <f>AP22</f>
        <v>3.5</v>
      </c>
      <c r="AA35" s="392"/>
      <c r="AB35" s="392"/>
      <c r="AC35" s="392"/>
      <c r="AD35" s="392"/>
      <c r="AE35" s="189"/>
      <c r="AF35" s="190"/>
      <c r="AG35" s="391"/>
      <c r="AH35" s="392"/>
      <c r="AI35" s="392"/>
      <c r="AJ35" s="392"/>
      <c r="AK35" s="392"/>
      <c r="AL35" s="189"/>
      <c r="AM35" s="190"/>
      <c r="AN35" s="403"/>
      <c r="AO35" s="404"/>
      <c r="AP35" s="404"/>
      <c r="AQ35" s="404"/>
      <c r="AR35" s="404"/>
      <c r="AS35" s="404"/>
      <c r="AT35" s="405"/>
    </row>
    <row r="36" spans="1:46" ht="18">
      <c r="A36" s="143"/>
      <c r="B36" s="191" t="str">
        <f>Eco!$B$13</f>
        <v> - ricavi da energia termica cogenerata</v>
      </c>
      <c r="C36" s="181"/>
      <c r="D36" s="181"/>
      <c r="E36" s="181"/>
      <c r="F36" s="182"/>
      <c r="G36" s="182"/>
      <c r="H36" s="182"/>
      <c r="I36" s="182"/>
      <c r="J36" s="182"/>
      <c r="K36" s="182"/>
      <c r="L36" s="182"/>
      <c r="M36" s="182"/>
      <c r="N36" s="182"/>
      <c r="O36" s="182"/>
      <c r="P36" s="182"/>
      <c r="Q36" s="182"/>
      <c r="R36" s="182"/>
      <c r="S36" s="182"/>
      <c r="T36" s="182"/>
      <c r="U36" s="182"/>
      <c r="V36" s="182"/>
      <c r="W36" s="182"/>
      <c r="X36" s="182"/>
      <c r="Y36" s="183"/>
      <c r="Z36" s="391">
        <f>AG18</f>
        <v>17.6</v>
      </c>
      <c r="AA36" s="392"/>
      <c r="AB36" s="392"/>
      <c r="AC36" s="392"/>
      <c r="AD36" s="392"/>
      <c r="AE36" s="189"/>
      <c r="AF36" s="190"/>
      <c r="AG36" s="391"/>
      <c r="AH36" s="392"/>
      <c r="AI36" s="392"/>
      <c r="AJ36" s="392"/>
      <c r="AK36" s="392"/>
      <c r="AL36" s="189"/>
      <c r="AM36" s="190"/>
      <c r="AN36" s="403"/>
      <c r="AO36" s="404"/>
      <c r="AP36" s="404"/>
      <c r="AQ36" s="404"/>
      <c r="AR36" s="404"/>
      <c r="AS36" s="404"/>
      <c r="AT36" s="405"/>
    </row>
    <row r="37" spans="1:46" ht="18">
      <c r="A37" s="143"/>
      <c r="B37" s="191" t="str">
        <f>Eco!$B$15</f>
        <v> - costo gas naturale per cogeneratore</v>
      </c>
      <c r="C37" s="181"/>
      <c r="D37" s="181"/>
      <c r="E37" s="181"/>
      <c r="F37" s="182"/>
      <c r="G37" s="182"/>
      <c r="H37" s="182"/>
      <c r="I37" s="182"/>
      <c r="J37" s="182"/>
      <c r="K37" s="182"/>
      <c r="L37" s="182"/>
      <c r="M37" s="182"/>
      <c r="N37" s="182"/>
      <c r="O37" s="182"/>
      <c r="P37" s="182"/>
      <c r="Q37" s="182"/>
      <c r="R37" s="182"/>
      <c r="S37" s="182"/>
      <c r="T37" s="182"/>
      <c r="U37" s="182"/>
      <c r="V37" s="182"/>
      <c r="W37" s="182"/>
      <c r="X37" s="182"/>
      <c r="Y37" s="183"/>
      <c r="Z37" s="391"/>
      <c r="AA37" s="392"/>
      <c r="AB37" s="392"/>
      <c r="AC37" s="392"/>
      <c r="AD37" s="392"/>
      <c r="AE37" s="189"/>
      <c r="AF37" s="190"/>
      <c r="AG37" s="391">
        <f>-J24</f>
        <v>-39.1</v>
      </c>
      <c r="AH37" s="392"/>
      <c r="AI37" s="392"/>
      <c r="AJ37" s="392"/>
      <c r="AK37" s="392"/>
      <c r="AL37" s="189"/>
      <c r="AM37" s="190"/>
      <c r="AN37" s="403"/>
      <c r="AO37" s="404"/>
      <c r="AP37" s="404"/>
      <c r="AQ37" s="404"/>
      <c r="AR37" s="404"/>
      <c r="AS37" s="404"/>
      <c r="AT37" s="405"/>
    </row>
    <row r="38" spans="1:46" ht="18">
      <c r="A38" s="128"/>
      <c r="B38" s="191" t="str">
        <f>Eco!$B$17</f>
        <v> - costo manutenzione cogeneratore</v>
      </c>
      <c r="C38" s="178"/>
      <c r="D38" s="178"/>
      <c r="E38" s="178"/>
      <c r="F38" s="178"/>
      <c r="G38" s="178"/>
      <c r="H38" s="178"/>
      <c r="I38" s="178"/>
      <c r="J38" s="178"/>
      <c r="K38" s="178"/>
      <c r="L38" s="178"/>
      <c r="M38" s="178"/>
      <c r="N38" s="178"/>
      <c r="O38" s="178"/>
      <c r="P38" s="178"/>
      <c r="Q38" s="178"/>
      <c r="R38" s="178"/>
      <c r="S38" s="178"/>
      <c r="T38" s="178"/>
      <c r="U38" s="178"/>
      <c r="V38" s="178"/>
      <c r="W38" s="178"/>
      <c r="X38" s="178"/>
      <c r="Y38" s="184"/>
      <c r="Z38" s="391"/>
      <c r="AA38" s="392"/>
      <c r="AB38" s="392"/>
      <c r="AC38" s="392"/>
      <c r="AD38" s="392"/>
      <c r="AE38" s="189"/>
      <c r="AF38" s="190"/>
      <c r="AG38" s="391">
        <f>-J27</f>
        <v>-5.5</v>
      </c>
      <c r="AH38" s="392"/>
      <c r="AI38" s="392"/>
      <c r="AJ38" s="392"/>
      <c r="AK38" s="392"/>
      <c r="AL38" s="189"/>
      <c r="AM38" s="190"/>
      <c r="AN38" s="406"/>
      <c r="AO38" s="407"/>
      <c r="AP38" s="407"/>
      <c r="AQ38" s="407"/>
      <c r="AR38" s="407"/>
      <c r="AS38" s="407"/>
      <c r="AT38" s="408"/>
    </row>
    <row r="39" spans="1:46" ht="15.75">
      <c r="A39" s="128"/>
      <c r="B39" s="185" t="s">
        <v>170</v>
      </c>
      <c r="C39" s="178"/>
      <c r="D39" s="178"/>
      <c r="E39" s="178"/>
      <c r="F39" s="178"/>
      <c r="G39" s="178"/>
      <c r="H39" s="178"/>
      <c r="I39" s="178"/>
      <c r="J39" s="178"/>
      <c r="K39" s="178"/>
      <c r="L39" s="178"/>
      <c r="M39" s="178"/>
      <c r="N39" s="178"/>
      <c r="O39" s="178"/>
      <c r="P39" s="178"/>
      <c r="Q39" s="178"/>
      <c r="R39" s="178"/>
      <c r="S39" s="178"/>
      <c r="T39" s="178"/>
      <c r="U39" s="178"/>
      <c r="V39" s="178"/>
      <c r="W39" s="178"/>
      <c r="X39" s="178"/>
      <c r="Y39" s="184"/>
      <c r="Z39" s="393">
        <f>SUM(Z34:AF38)</f>
        <v>66.1</v>
      </c>
      <c r="AA39" s="394"/>
      <c r="AB39" s="394"/>
      <c r="AC39" s="394"/>
      <c r="AD39" s="394"/>
      <c r="AE39" s="189"/>
      <c r="AF39" s="190"/>
      <c r="AG39" s="393">
        <f>SUM(AG34:AM38)</f>
        <v>-44.6</v>
      </c>
      <c r="AH39" s="394"/>
      <c r="AI39" s="394"/>
      <c r="AJ39" s="394"/>
      <c r="AK39" s="394"/>
      <c r="AL39" s="189"/>
      <c r="AM39" s="190"/>
      <c r="AN39" s="397">
        <f>+Z39+AG39</f>
        <v>21.499999999999993</v>
      </c>
      <c r="AO39" s="398"/>
      <c r="AP39" s="398"/>
      <c r="AQ39" s="398"/>
      <c r="AR39" s="398"/>
      <c r="AS39" s="398"/>
      <c r="AT39" s="399"/>
    </row>
    <row r="40" spans="1:40" ht="18">
      <c r="A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9" ht="19.5" customHeight="1">
      <c r="A41" s="332" t="s">
        <v>220</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236">
        <f>AV1+1</f>
        <v>11</v>
      </c>
      <c r="AW41" s="171" t="s">
        <v>187</v>
      </c>
    </row>
    <row r="42" spans="1:58" ht="19.5" customHeight="1">
      <c r="A42" s="332" t="str">
        <f>"CONDIZIONE DI FUNZIONAMENTO "&amp;AV42&amp;AW42&amp;IF(AX42&gt;0," (Lo stesso schema vale anche per la condizione "&amp;AX42&amp;")","")</f>
        <v>CONDIZIONE DI FUNZIONAMENTO 9B</v>
      </c>
      <c r="B42" s="332"/>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244">
        <f>VLOOKUP($AV41,DbCasi,Pot!$B$39)</f>
        <v>9</v>
      </c>
      <c r="AW42" s="242" t="str">
        <f>IF(VLOOKUP($AV41,DbCasi,Pot!$C$39)&lt;&gt;0,VLOOKUP($AV41,DbCasi,Pot!$C$39),"")</f>
        <v>B</v>
      </c>
      <c r="AX42" s="237">
        <f>VLOOKUP($AV41,DbCasi,Pot!$D$39)</f>
        <v>0</v>
      </c>
      <c r="AY42" s="238" t="s">
        <v>226</v>
      </c>
      <c r="AZ42" s="239"/>
      <c r="BA42" s="239"/>
      <c r="BB42" s="239"/>
      <c r="BC42" s="239"/>
      <c r="BD42" s="239"/>
      <c r="BE42" s="239"/>
      <c r="BF42" s="240"/>
    </row>
    <row r="43" spans="1:47" ht="1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row>
    <row r="44" spans="1:51" ht="19.5" customHeight="1">
      <c r="A44" s="334" t="str">
        <f>"Regolazione : "&amp;AY44&amp;IF(AV44=4,"","  -  Carico del motore : "&amp;TEXT(AW44*100,"00,0")&amp;"%")</f>
        <v>Regolazione : Carico Termico Comanda  -  Carico del motore : 39,9%</v>
      </c>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229">
        <f>VLOOKUP($AV41,DbCasi,Pot!$H$9+1)</f>
        <v>2</v>
      </c>
      <c r="AW44" s="230">
        <f>VLOOKUP($AV41,DbCasi,Pot!$I$9+1)</f>
        <v>0.39893617021276595</v>
      </c>
      <c r="AY44" s="127" t="str">
        <f>CHOOSE(AV44,"Carico Elettrico Comanda","Carico Termico Comanda","","Motore a carico massimo","Motore a carico minimo")</f>
        <v>Carico Termico Comanda</v>
      </c>
    </row>
    <row r="45" spans="1:47" ht="19.5" customHeight="1">
      <c r="A45" s="331" t="s">
        <v>260</v>
      </c>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row>
    <row r="46" spans="1:47" ht="19.5" customHeight="1">
      <c r="A46" s="331" t="s">
        <v>261</v>
      </c>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row>
    <row r="47" spans="1:47" ht="19.5" customHeight="1" hidden="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row>
    <row r="48" spans="1:47" ht="19.5" customHeight="1" hidden="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row>
    <row r="49" spans="1:47" ht="19.5" customHeight="1" hidden="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row>
    <row r="50" spans="1:47" ht="19.5" customHeight="1" hidden="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row>
    <row r="51" ht="19.5" customHeight="1"/>
    <row r="52" spans="1:47" ht="15.75">
      <c r="A52" s="333"/>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row>
    <row r="53" ht="15.75">
      <c r="A53" s="128"/>
    </row>
    <row r="54" ht="15.75">
      <c r="A54" s="128"/>
    </row>
    <row r="55" ht="12.75" customHeight="1"/>
    <row r="56" spans="15:26" ht="18">
      <c r="O56" s="170" t="s">
        <v>157</v>
      </c>
      <c r="W56" s="169" t="s">
        <v>156</v>
      </c>
      <c r="X56" s="129"/>
      <c r="Y56" s="129"/>
      <c r="Z56" s="129"/>
    </row>
    <row r="57" spans="9:29" ht="15.75">
      <c r="I57" s="337">
        <f>VLOOKUP($AV$41,DbCasi,Pot!$T$9+1)</f>
        <v>0</v>
      </c>
      <c r="J57" s="337"/>
      <c r="K57" s="138" t="s">
        <v>161</v>
      </c>
      <c r="AA57" s="337">
        <f>VLOOKUP($AV$41,DbCasi,Pot!$Q$9+1)</f>
        <v>438.82978723404256</v>
      </c>
      <c r="AB57" s="337"/>
      <c r="AC57" s="130" t="s">
        <v>161</v>
      </c>
    </row>
    <row r="58" spans="23:35" ht="12.75" customHeight="1">
      <c r="W58" s="128" t="str">
        <f>TEXT(AA57,"#.##0")&amp;" kW x "&amp;Testo!$J$77&amp;" Euro/kWh = "</f>
        <v>439 kW x 0,039 Euro/kWh = </v>
      </c>
      <c r="AG58" s="383">
        <f>ROUND(AA57*Testo!$J$77,1)</f>
        <v>17.1</v>
      </c>
      <c r="AH58" s="383"/>
      <c r="AI58" s="130" t="s">
        <v>165</v>
      </c>
    </row>
    <row r="59" ht="15.75" customHeight="1"/>
    <row r="60" ht="18">
      <c r="AG60" s="134" t="s">
        <v>162</v>
      </c>
    </row>
    <row r="61" spans="37:39" ht="12.75" customHeight="1" thickBot="1">
      <c r="AK61" s="337">
        <f>VLOOKUP($AV$41,DbCasi,Pot!$P$9+1)</f>
        <v>0</v>
      </c>
      <c r="AL61" s="337"/>
      <c r="AM61" s="130" t="s">
        <v>161</v>
      </c>
    </row>
    <row r="62" spans="14:48" ht="15" customHeight="1">
      <c r="N62" s="384" t="s">
        <v>144</v>
      </c>
      <c r="O62" s="384"/>
      <c r="P62" s="384"/>
      <c r="Q62" s="384"/>
      <c r="R62" s="384"/>
      <c r="T62" s="131"/>
      <c r="U62" s="132"/>
      <c r="V62" s="132"/>
      <c r="W62" s="132"/>
      <c r="X62" s="132"/>
      <c r="Y62" s="132"/>
      <c r="Z62" s="132"/>
      <c r="AA62" s="132"/>
      <c r="AB62" s="132"/>
      <c r="AC62" s="132"/>
      <c r="AD62" s="133"/>
      <c r="AE62" s="134"/>
      <c r="AG62" s="128" t="str">
        <f>TEXT(AK61,"#.##0")&amp;" kW x "&amp;TEXT(Testo!$J$75,"0,00")&amp;" Euro/kWh = "</f>
        <v>0 kW x 0,07 Euro/kWh = </v>
      </c>
      <c r="AP62" s="383">
        <f>ROUND(AK61*Testo!$J$75,1)</f>
        <v>0</v>
      </c>
      <c r="AQ62" s="383"/>
      <c r="AR62" s="130" t="s">
        <v>165</v>
      </c>
      <c r="AV62" s="136"/>
    </row>
    <row r="63" spans="1:48" ht="15.75" customHeight="1">
      <c r="A63" s="130" t="str">
        <f>TEXT(AA69,"#.##0")&amp;"kW / "&amp;Testo!$J$10&amp;" kWh/Sm3 = "</f>
        <v>997kW / 9,59 kWh/Sm3 = </v>
      </c>
      <c r="B63" s="130"/>
      <c r="C63" s="130"/>
      <c r="D63" s="130"/>
      <c r="E63" s="130"/>
      <c r="F63" s="130"/>
      <c r="G63" s="130"/>
      <c r="H63" s="130"/>
      <c r="I63" s="130"/>
      <c r="J63" s="333">
        <f>AA69/Testo!$J$10</f>
        <v>103.99795886672732</v>
      </c>
      <c r="K63" s="333"/>
      <c r="L63" s="130" t="s">
        <v>164</v>
      </c>
      <c r="N63" s="384"/>
      <c r="O63" s="384"/>
      <c r="P63" s="384"/>
      <c r="Q63" s="384"/>
      <c r="R63" s="384"/>
      <c r="T63" s="135"/>
      <c r="U63" s="335" t="s">
        <v>145</v>
      </c>
      <c r="V63" s="336"/>
      <c r="W63" s="336"/>
      <c r="X63" s="336"/>
      <c r="Y63" s="336"/>
      <c r="Z63" s="336"/>
      <c r="AA63" s="336"/>
      <c r="AB63" s="336"/>
      <c r="AC63" s="336"/>
      <c r="AD63" s="137"/>
      <c r="AV63" s="136"/>
    </row>
    <row r="64" spans="1:48" ht="15.75" customHeight="1">
      <c r="A64" s="130" t="str">
        <f>TEXT(J63,"000")&amp;"Sm3/h x "&amp;Testo!$J$15&amp;" Euro/Sm3 = "</f>
        <v>104Sm3/h x 0,3 Euro/Sm3 = </v>
      </c>
      <c r="B64" s="138"/>
      <c r="C64" s="138"/>
      <c r="D64" s="138"/>
      <c r="E64" s="138"/>
      <c r="F64" s="138"/>
      <c r="G64" s="138"/>
      <c r="H64" s="138"/>
      <c r="I64" s="138"/>
      <c r="J64" s="333">
        <f>ROUND(J63*Testo!$J$15,1)</f>
        <v>31.2</v>
      </c>
      <c r="K64" s="333"/>
      <c r="L64" s="130" t="s">
        <v>165</v>
      </c>
      <c r="T64" s="135"/>
      <c r="U64" s="336"/>
      <c r="V64" s="336"/>
      <c r="W64" s="336"/>
      <c r="X64" s="336"/>
      <c r="Y64" s="336"/>
      <c r="Z64" s="336"/>
      <c r="AA64" s="336"/>
      <c r="AB64" s="336"/>
      <c r="AC64" s="336"/>
      <c r="AD64" s="137"/>
      <c r="AV64" s="136"/>
    </row>
    <row r="65" spans="1:48" ht="12.75" customHeight="1">
      <c r="A65" s="138"/>
      <c r="B65" s="138"/>
      <c r="C65" s="138"/>
      <c r="D65" s="138"/>
      <c r="E65" s="138"/>
      <c r="F65" s="138"/>
      <c r="G65" s="138"/>
      <c r="H65" s="138"/>
      <c r="I65" s="138"/>
      <c r="J65" s="138"/>
      <c r="K65" s="138"/>
      <c r="L65" s="138"/>
      <c r="T65" s="135"/>
      <c r="U65" s="336"/>
      <c r="V65" s="336"/>
      <c r="W65" s="336"/>
      <c r="X65" s="336"/>
      <c r="Y65" s="336"/>
      <c r="Z65" s="336"/>
      <c r="AA65" s="336"/>
      <c r="AB65" s="336"/>
      <c r="AC65" s="336"/>
      <c r="AD65" s="137"/>
      <c r="AV65" s="136"/>
    </row>
    <row r="66" spans="20:48" ht="12.75">
      <c r="T66" s="135"/>
      <c r="U66" s="336"/>
      <c r="V66" s="336"/>
      <c r="W66" s="336"/>
      <c r="X66" s="336"/>
      <c r="Y66" s="336"/>
      <c r="Z66" s="336"/>
      <c r="AA66" s="336"/>
      <c r="AB66" s="336"/>
      <c r="AC66" s="336"/>
      <c r="AD66" s="137"/>
      <c r="AV66" s="136"/>
    </row>
    <row r="67" spans="1:48" ht="15.75" customHeight="1">
      <c r="A67" s="333" t="str">
        <f>TEXT(AA67,"#.##0")&amp;" kW x "&amp;Testo!$J$17&amp;" Euro/kWh = "</f>
        <v>399 kW x 0,011 Euro/kWh = </v>
      </c>
      <c r="B67" s="333"/>
      <c r="C67" s="333"/>
      <c r="D67" s="333"/>
      <c r="E67" s="333"/>
      <c r="F67" s="333"/>
      <c r="G67" s="333"/>
      <c r="H67" s="333"/>
      <c r="I67" s="333"/>
      <c r="J67" s="383">
        <f>ROUND(AA67*Testo!$J$17,1)</f>
        <v>4.4</v>
      </c>
      <c r="K67" s="383"/>
      <c r="L67" s="390" t="s">
        <v>165</v>
      </c>
      <c r="M67" s="390"/>
      <c r="T67" s="177" t="s">
        <v>158</v>
      </c>
      <c r="U67" s="136"/>
      <c r="V67" s="136"/>
      <c r="W67" s="136"/>
      <c r="X67" s="136"/>
      <c r="Y67" s="136"/>
      <c r="Z67" s="136"/>
      <c r="AA67" s="386">
        <f>VLOOKUP($AV$41,DbCasi,Pot!$J$9+1)</f>
        <v>398.93617021276594</v>
      </c>
      <c r="AB67" s="386"/>
      <c r="AC67" s="176" t="s">
        <v>141</v>
      </c>
      <c r="AD67" s="137"/>
      <c r="AG67" s="134" t="s">
        <v>163</v>
      </c>
      <c r="AV67" s="136"/>
    </row>
    <row r="68" spans="1:39" ht="15.75" customHeight="1">
      <c r="A68" s="333"/>
      <c r="B68" s="333"/>
      <c r="C68" s="333"/>
      <c r="D68" s="333"/>
      <c r="E68" s="333"/>
      <c r="F68" s="333"/>
      <c r="G68" s="333"/>
      <c r="H68" s="333"/>
      <c r="I68" s="333"/>
      <c r="J68" s="383"/>
      <c r="K68" s="383"/>
      <c r="L68" s="390"/>
      <c r="M68" s="390"/>
      <c r="N68" s="385" t="s">
        <v>146</v>
      </c>
      <c r="O68" s="385"/>
      <c r="P68" s="385"/>
      <c r="Q68" s="385"/>
      <c r="R68" s="385"/>
      <c r="T68" s="177" t="s">
        <v>159</v>
      </c>
      <c r="U68" s="136"/>
      <c r="V68" s="136"/>
      <c r="W68" s="136"/>
      <c r="X68" s="136"/>
      <c r="Y68" s="136"/>
      <c r="Z68" s="136"/>
      <c r="AA68" s="386">
        <f>VLOOKUP($AV$41,DbCasi,Pot!$K$9+1)</f>
        <v>438.82978723404256</v>
      </c>
      <c r="AB68" s="386"/>
      <c r="AC68" s="176" t="s">
        <v>141</v>
      </c>
      <c r="AD68" s="137"/>
      <c r="AK68" s="337">
        <f>VLOOKUP($AV$41,DbCasi,Pot!$N$9+1)</f>
        <v>398.93617021276594</v>
      </c>
      <c r="AL68" s="337"/>
      <c r="AM68" s="130" t="s">
        <v>161</v>
      </c>
    </row>
    <row r="69" spans="14:44" ht="15.75" customHeight="1">
      <c r="N69" s="385"/>
      <c r="O69" s="385"/>
      <c r="P69" s="385"/>
      <c r="Q69" s="385"/>
      <c r="R69" s="385"/>
      <c r="T69" s="177" t="s">
        <v>160</v>
      </c>
      <c r="U69" s="136"/>
      <c r="V69" s="136"/>
      <c r="W69" s="136"/>
      <c r="X69" s="136"/>
      <c r="Y69" s="136"/>
      <c r="Z69" s="136"/>
      <c r="AA69" s="386">
        <f>VLOOKUP($AV$41,DbCasi,Pot!$L$9+1)</f>
        <v>997.3404255319149</v>
      </c>
      <c r="AB69" s="386"/>
      <c r="AC69" s="176" t="s">
        <v>141</v>
      </c>
      <c r="AD69" s="137"/>
      <c r="AG69" s="128" t="str">
        <f>TEXT(AK68,"#.##0")&amp;" kW x "&amp;TEXT(Testo!$J$74,"0,00")&amp;" Euro/kWh = "</f>
        <v>399 kW x 0,10 Euro/kWh = </v>
      </c>
      <c r="AP69" s="383">
        <f>ROUND(AK68*Testo!$J$74,0)</f>
        <v>40</v>
      </c>
      <c r="AQ69" s="383"/>
      <c r="AR69" s="130" t="s">
        <v>165</v>
      </c>
    </row>
    <row r="70" spans="20:31" ht="15.75" customHeight="1" thickBot="1">
      <c r="T70" s="139"/>
      <c r="U70" s="140"/>
      <c r="V70" s="140"/>
      <c r="W70" s="140"/>
      <c r="X70" s="140"/>
      <c r="Y70" s="140"/>
      <c r="Z70" s="140"/>
      <c r="AA70" s="140"/>
      <c r="AB70" s="140"/>
      <c r="AC70" s="140"/>
      <c r="AD70" s="141"/>
      <c r="AE70" s="128"/>
    </row>
    <row r="71" spans="20:31" ht="15.75" customHeight="1">
      <c r="T71" s="136"/>
      <c r="U71" s="136"/>
      <c r="V71" s="136"/>
      <c r="W71" s="136"/>
      <c r="X71" s="136"/>
      <c r="Y71" s="136"/>
      <c r="Z71" s="136"/>
      <c r="AA71" s="136"/>
      <c r="AB71" s="136"/>
      <c r="AC71" s="136"/>
      <c r="AD71" s="136"/>
      <c r="AE71" s="128"/>
    </row>
    <row r="72" spans="20:31" ht="15.75" customHeight="1">
      <c r="T72" s="136"/>
      <c r="U72" s="136"/>
      <c r="V72" s="136"/>
      <c r="W72" s="136"/>
      <c r="X72" s="136"/>
      <c r="Y72" s="136"/>
      <c r="Z72" s="136"/>
      <c r="AA72" s="136"/>
      <c r="AB72" s="136"/>
      <c r="AC72" s="136"/>
      <c r="AD72" s="136"/>
      <c r="AE72" s="128"/>
    </row>
    <row r="73" spans="1:46" ht="18" customHeight="1">
      <c r="A73" s="142"/>
      <c r="B73" s="186" t="s">
        <v>171</v>
      </c>
      <c r="C73" s="187"/>
      <c r="D73" s="187"/>
      <c r="E73" s="187"/>
      <c r="F73" s="187"/>
      <c r="G73" s="187"/>
      <c r="H73" s="187"/>
      <c r="I73" s="187"/>
      <c r="J73" s="187"/>
      <c r="K73" s="187"/>
      <c r="L73" s="187"/>
      <c r="M73" s="187"/>
      <c r="N73" s="187"/>
      <c r="O73" s="187"/>
      <c r="P73" s="187"/>
      <c r="Q73" s="187"/>
      <c r="R73" s="187"/>
      <c r="S73" s="187"/>
      <c r="T73" s="187"/>
      <c r="U73" s="187"/>
      <c r="V73" s="187"/>
      <c r="W73" s="187"/>
      <c r="X73" s="187"/>
      <c r="Y73" s="188"/>
      <c r="Z73" s="387" t="s">
        <v>168</v>
      </c>
      <c r="AA73" s="388"/>
      <c r="AB73" s="388"/>
      <c r="AC73" s="388"/>
      <c r="AD73" s="388"/>
      <c r="AE73" s="388"/>
      <c r="AF73" s="389"/>
      <c r="AG73" s="387" t="s">
        <v>169</v>
      </c>
      <c r="AH73" s="388"/>
      <c r="AI73" s="388"/>
      <c r="AJ73" s="388"/>
      <c r="AK73" s="388"/>
      <c r="AL73" s="388"/>
      <c r="AM73" s="389"/>
      <c r="AN73" s="400" t="s">
        <v>198</v>
      </c>
      <c r="AO73" s="401"/>
      <c r="AP73" s="401"/>
      <c r="AQ73" s="401"/>
      <c r="AR73" s="401"/>
      <c r="AS73" s="401"/>
      <c r="AT73" s="402"/>
    </row>
    <row r="74" spans="1:46" ht="18">
      <c r="A74" s="143"/>
      <c r="B74" s="191" t="str">
        <f>Eco!$B$11</f>
        <v> - ricavi da energia elettrica cogenerata vs. stabilimento</v>
      </c>
      <c r="C74" s="178"/>
      <c r="D74" s="179"/>
      <c r="E74" s="179"/>
      <c r="F74" s="179"/>
      <c r="G74" s="179"/>
      <c r="H74" s="179"/>
      <c r="I74" s="179"/>
      <c r="J74" s="179"/>
      <c r="K74" s="179"/>
      <c r="L74" s="179"/>
      <c r="M74" s="179"/>
      <c r="N74" s="179"/>
      <c r="O74" s="179"/>
      <c r="P74" s="179"/>
      <c r="Q74" s="179"/>
      <c r="R74" s="179"/>
      <c r="S74" s="179"/>
      <c r="T74" s="179"/>
      <c r="U74" s="179"/>
      <c r="V74" s="179"/>
      <c r="W74" s="179"/>
      <c r="X74" s="179"/>
      <c r="Y74" s="180"/>
      <c r="Z74" s="391">
        <f>AP69</f>
        <v>40</v>
      </c>
      <c r="AA74" s="392"/>
      <c r="AB74" s="392"/>
      <c r="AC74" s="392"/>
      <c r="AD74" s="392"/>
      <c r="AE74" s="189"/>
      <c r="AF74" s="190"/>
      <c r="AG74" s="391"/>
      <c r="AH74" s="392"/>
      <c r="AI74" s="392"/>
      <c r="AJ74" s="392"/>
      <c r="AK74" s="392"/>
      <c r="AL74" s="189"/>
      <c r="AM74" s="190"/>
      <c r="AN74" s="403"/>
      <c r="AO74" s="404"/>
      <c r="AP74" s="404"/>
      <c r="AQ74" s="404"/>
      <c r="AR74" s="404"/>
      <c r="AS74" s="404"/>
      <c r="AT74" s="405"/>
    </row>
    <row r="75" spans="1:46" ht="18">
      <c r="A75" s="143"/>
      <c r="B75" s="191" t="str">
        <f>Eco!$B$12</f>
        <v> - ricavi da energia elettrica esportata</v>
      </c>
      <c r="C75" s="179"/>
      <c r="D75" s="179"/>
      <c r="E75" s="179"/>
      <c r="F75" s="179"/>
      <c r="G75" s="179"/>
      <c r="H75" s="179"/>
      <c r="I75" s="179"/>
      <c r="J75" s="179"/>
      <c r="K75" s="179"/>
      <c r="L75" s="179"/>
      <c r="M75" s="179"/>
      <c r="N75" s="179"/>
      <c r="O75" s="179"/>
      <c r="P75" s="179"/>
      <c r="Q75" s="179"/>
      <c r="R75" s="179"/>
      <c r="S75" s="179"/>
      <c r="T75" s="179"/>
      <c r="U75" s="179"/>
      <c r="V75" s="179"/>
      <c r="W75" s="179"/>
      <c r="X75" s="179"/>
      <c r="Y75" s="180"/>
      <c r="Z75" s="391">
        <f>AP62</f>
        <v>0</v>
      </c>
      <c r="AA75" s="392"/>
      <c r="AB75" s="392"/>
      <c r="AC75" s="392"/>
      <c r="AD75" s="392"/>
      <c r="AE75" s="189"/>
      <c r="AF75" s="190"/>
      <c r="AG75" s="391"/>
      <c r="AH75" s="392"/>
      <c r="AI75" s="392"/>
      <c r="AJ75" s="392"/>
      <c r="AK75" s="392"/>
      <c r="AL75" s="189"/>
      <c r="AM75" s="190"/>
      <c r="AN75" s="403"/>
      <c r="AO75" s="404"/>
      <c r="AP75" s="404"/>
      <c r="AQ75" s="404"/>
      <c r="AR75" s="404"/>
      <c r="AS75" s="404"/>
      <c r="AT75" s="405"/>
    </row>
    <row r="76" spans="1:46" ht="18">
      <c r="A76" s="143"/>
      <c r="B76" s="191" t="str">
        <f>Eco!$B$13</f>
        <v> - ricavi da energia termica cogenerata</v>
      </c>
      <c r="C76" s="181"/>
      <c r="D76" s="181"/>
      <c r="E76" s="181"/>
      <c r="F76" s="182"/>
      <c r="G76" s="182"/>
      <c r="H76" s="182"/>
      <c r="I76" s="182"/>
      <c r="J76" s="182"/>
      <c r="K76" s="182"/>
      <c r="L76" s="182"/>
      <c r="M76" s="182"/>
      <c r="N76" s="182"/>
      <c r="O76" s="182"/>
      <c r="P76" s="182"/>
      <c r="Q76" s="182"/>
      <c r="R76" s="182"/>
      <c r="S76" s="182"/>
      <c r="T76" s="182"/>
      <c r="U76" s="182"/>
      <c r="V76" s="182"/>
      <c r="W76" s="182"/>
      <c r="X76" s="182"/>
      <c r="Y76" s="183"/>
      <c r="Z76" s="391">
        <f>AG58</f>
        <v>17.1</v>
      </c>
      <c r="AA76" s="392"/>
      <c r="AB76" s="392"/>
      <c r="AC76" s="392"/>
      <c r="AD76" s="392"/>
      <c r="AE76" s="189"/>
      <c r="AF76" s="190"/>
      <c r="AG76" s="391"/>
      <c r="AH76" s="392"/>
      <c r="AI76" s="392"/>
      <c r="AJ76" s="392"/>
      <c r="AK76" s="392"/>
      <c r="AL76" s="189"/>
      <c r="AM76" s="190"/>
      <c r="AN76" s="403"/>
      <c r="AO76" s="404"/>
      <c r="AP76" s="404"/>
      <c r="AQ76" s="404"/>
      <c r="AR76" s="404"/>
      <c r="AS76" s="404"/>
      <c r="AT76" s="405"/>
    </row>
    <row r="77" spans="1:46" ht="18">
      <c r="A77" s="143"/>
      <c r="B77" s="191" t="str">
        <f>Eco!$B$15</f>
        <v> - costo gas naturale per cogeneratore</v>
      </c>
      <c r="C77" s="181"/>
      <c r="D77" s="181"/>
      <c r="E77" s="181"/>
      <c r="F77" s="182"/>
      <c r="G77" s="182"/>
      <c r="H77" s="182"/>
      <c r="I77" s="182"/>
      <c r="J77" s="182"/>
      <c r="K77" s="182"/>
      <c r="L77" s="182"/>
      <c r="M77" s="182"/>
      <c r="N77" s="182"/>
      <c r="O77" s="182"/>
      <c r="P77" s="182"/>
      <c r="Q77" s="182"/>
      <c r="R77" s="182"/>
      <c r="S77" s="182"/>
      <c r="T77" s="182"/>
      <c r="U77" s="182"/>
      <c r="V77" s="182"/>
      <c r="W77" s="182"/>
      <c r="X77" s="182"/>
      <c r="Y77" s="183"/>
      <c r="Z77" s="391"/>
      <c r="AA77" s="392"/>
      <c r="AB77" s="392"/>
      <c r="AC77" s="392"/>
      <c r="AD77" s="392"/>
      <c r="AE77" s="189"/>
      <c r="AF77" s="190"/>
      <c r="AG77" s="391">
        <f>-J64</f>
        <v>-31.2</v>
      </c>
      <c r="AH77" s="392"/>
      <c r="AI77" s="392"/>
      <c r="AJ77" s="392"/>
      <c r="AK77" s="392"/>
      <c r="AL77" s="189"/>
      <c r="AM77" s="190"/>
      <c r="AN77" s="403"/>
      <c r="AO77" s="404"/>
      <c r="AP77" s="404"/>
      <c r="AQ77" s="404"/>
      <c r="AR77" s="404"/>
      <c r="AS77" s="404"/>
      <c r="AT77" s="405"/>
    </row>
    <row r="78" spans="1:46" ht="18">
      <c r="A78" s="128"/>
      <c r="B78" s="191" t="str">
        <f>Eco!$B$17</f>
        <v> - costo manutenzione cogeneratore</v>
      </c>
      <c r="C78" s="178"/>
      <c r="D78" s="178"/>
      <c r="E78" s="178"/>
      <c r="F78" s="178"/>
      <c r="G78" s="178"/>
      <c r="H78" s="178"/>
      <c r="I78" s="178"/>
      <c r="J78" s="178"/>
      <c r="K78" s="178"/>
      <c r="L78" s="178"/>
      <c r="M78" s="178"/>
      <c r="N78" s="178"/>
      <c r="O78" s="178"/>
      <c r="P78" s="178"/>
      <c r="Q78" s="178"/>
      <c r="R78" s="178"/>
      <c r="S78" s="178"/>
      <c r="T78" s="178"/>
      <c r="U78" s="178"/>
      <c r="V78" s="178"/>
      <c r="W78" s="178"/>
      <c r="X78" s="178"/>
      <c r="Y78" s="184"/>
      <c r="Z78" s="391"/>
      <c r="AA78" s="392"/>
      <c r="AB78" s="392"/>
      <c r="AC78" s="392"/>
      <c r="AD78" s="392"/>
      <c r="AE78" s="189"/>
      <c r="AF78" s="190"/>
      <c r="AG78" s="391">
        <f>-J67</f>
        <v>-4.4</v>
      </c>
      <c r="AH78" s="392"/>
      <c r="AI78" s="392"/>
      <c r="AJ78" s="392"/>
      <c r="AK78" s="392"/>
      <c r="AL78" s="189"/>
      <c r="AM78" s="190"/>
      <c r="AN78" s="406"/>
      <c r="AO78" s="407"/>
      <c r="AP78" s="407"/>
      <c r="AQ78" s="407"/>
      <c r="AR78" s="407"/>
      <c r="AS78" s="407"/>
      <c r="AT78" s="408"/>
    </row>
    <row r="79" spans="1:46" ht="15.75">
      <c r="A79" s="128"/>
      <c r="B79" s="185" t="s">
        <v>170</v>
      </c>
      <c r="C79" s="178"/>
      <c r="D79" s="178"/>
      <c r="E79" s="178"/>
      <c r="F79" s="178"/>
      <c r="G79" s="178"/>
      <c r="H79" s="178"/>
      <c r="I79" s="178"/>
      <c r="J79" s="178"/>
      <c r="K79" s="178"/>
      <c r="L79" s="178"/>
      <c r="M79" s="178"/>
      <c r="N79" s="178"/>
      <c r="O79" s="178"/>
      <c r="P79" s="178"/>
      <c r="Q79" s="178"/>
      <c r="R79" s="178"/>
      <c r="S79" s="178"/>
      <c r="T79" s="178"/>
      <c r="U79" s="178"/>
      <c r="V79" s="178"/>
      <c r="W79" s="178"/>
      <c r="X79" s="178"/>
      <c r="Y79" s="184"/>
      <c r="Z79" s="393">
        <f>SUM(Z74:AF78)</f>
        <v>57.1</v>
      </c>
      <c r="AA79" s="394"/>
      <c r="AB79" s="394"/>
      <c r="AC79" s="394"/>
      <c r="AD79" s="394"/>
      <c r="AE79" s="189"/>
      <c r="AF79" s="190"/>
      <c r="AG79" s="393">
        <f>SUM(AG74:AM78)</f>
        <v>-35.6</v>
      </c>
      <c r="AH79" s="394"/>
      <c r="AI79" s="394"/>
      <c r="AJ79" s="394"/>
      <c r="AK79" s="394"/>
      <c r="AL79" s="189"/>
      <c r="AM79" s="190"/>
      <c r="AN79" s="397">
        <f>+Z79+AG79</f>
        <v>21.5</v>
      </c>
      <c r="AO79" s="398"/>
      <c r="AP79" s="398"/>
      <c r="AQ79" s="398"/>
      <c r="AR79" s="398"/>
      <c r="AS79" s="398"/>
      <c r="AT79" s="399"/>
    </row>
    <row r="80" spans="1:40" ht="18">
      <c r="A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9" ht="19.5" customHeight="1">
      <c r="A81" s="332" t="s">
        <v>220</v>
      </c>
      <c r="B81" s="332"/>
      <c r="C81" s="332"/>
      <c r="D81" s="332"/>
      <c r="E81" s="332"/>
      <c r="F81" s="332"/>
      <c r="G81" s="332"/>
      <c r="H81" s="332"/>
      <c r="I81" s="332"/>
      <c r="J81" s="332"/>
      <c r="K81" s="332"/>
      <c r="L81" s="332"/>
      <c r="M81" s="332"/>
      <c r="N81" s="332"/>
      <c r="O81" s="332"/>
      <c r="P81" s="332"/>
      <c r="Q81" s="332"/>
      <c r="R81" s="332"/>
      <c r="S81" s="332"/>
      <c r="T81" s="332"/>
      <c r="U81" s="332"/>
      <c r="V81" s="332"/>
      <c r="W81" s="332"/>
      <c r="X81" s="332"/>
      <c r="Y81" s="332"/>
      <c r="Z81" s="332"/>
      <c r="AA81" s="332"/>
      <c r="AB81" s="332"/>
      <c r="AC81" s="332"/>
      <c r="AD81" s="332"/>
      <c r="AE81" s="332"/>
      <c r="AF81" s="332"/>
      <c r="AG81" s="332"/>
      <c r="AH81" s="332"/>
      <c r="AI81" s="332"/>
      <c r="AJ81" s="332"/>
      <c r="AK81" s="332"/>
      <c r="AL81" s="332"/>
      <c r="AM81" s="332"/>
      <c r="AN81" s="332"/>
      <c r="AO81" s="332"/>
      <c r="AP81" s="332"/>
      <c r="AQ81" s="332"/>
      <c r="AR81" s="332"/>
      <c r="AS81" s="332"/>
      <c r="AT81" s="332"/>
      <c r="AU81" s="332"/>
      <c r="AV81" s="236">
        <f>AV41+1</f>
        <v>12</v>
      </c>
      <c r="AW81" s="171" t="s">
        <v>187</v>
      </c>
    </row>
    <row r="82" spans="1:58" ht="19.5" customHeight="1">
      <c r="A82" s="332" t="str">
        <f>"CONDIZIONE DI FUNZIONAMENTO "&amp;AV82&amp;AW82&amp;IF(AX82&gt;0," (Lo stesso schema vale anche per la condizione "&amp;AX82&amp;")","")</f>
        <v>CONDIZIONE DI FUNZIONAMENTO 9C</v>
      </c>
      <c r="B82" s="332"/>
      <c r="C82" s="332"/>
      <c r="D82" s="332"/>
      <c r="E82" s="332"/>
      <c r="F82" s="332"/>
      <c r="G82" s="332"/>
      <c r="H82" s="332"/>
      <c r="I82" s="332"/>
      <c r="J82" s="332"/>
      <c r="K82" s="332"/>
      <c r="L82" s="332"/>
      <c r="M82" s="332"/>
      <c r="N82" s="332"/>
      <c r="O82" s="332"/>
      <c r="P82" s="332"/>
      <c r="Q82" s="332"/>
      <c r="R82" s="332"/>
      <c r="S82" s="332"/>
      <c r="T82" s="332"/>
      <c r="U82" s="332"/>
      <c r="V82" s="332"/>
      <c r="W82" s="332"/>
      <c r="X82" s="332"/>
      <c r="Y82" s="332"/>
      <c r="Z82" s="332"/>
      <c r="AA82" s="332"/>
      <c r="AB82" s="332"/>
      <c r="AC82" s="332"/>
      <c r="AD82" s="332"/>
      <c r="AE82" s="332"/>
      <c r="AF82" s="332"/>
      <c r="AG82" s="332"/>
      <c r="AH82" s="332"/>
      <c r="AI82" s="332"/>
      <c r="AJ82" s="332"/>
      <c r="AK82" s="332"/>
      <c r="AL82" s="332"/>
      <c r="AM82" s="332"/>
      <c r="AN82" s="332"/>
      <c r="AO82" s="332"/>
      <c r="AP82" s="332"/>
      <c r="AQ82" s="332"/>
      <c r="AR82" s="332"/>
      <c r="AS82" s="332"/>
      <c r="AT82" s="332"/>
      <c r="AU82" s="332"/>
      <c r="AV82" s="244">
        <f>VLOOKUP($AV81,DbCasi,Pot!$B$39)</f>
        <v>9</v>
      </c>
      <c r="AW82" s="242" t="str">
        <f>IF(VLOOKUP($AV81,DbCasi,Pot!$C$39)&lt;&gt;0,VLOOKUP($AV81,DbCasi,Pot!$C$39),"")</f>
        <v>C</v>
      </c>
      <c r="AX82" s="237">
        <f>VLOOKUP($AV81,DbCasi,Pot!$D$39)</f>
        <v>0</v>
      </c>
      <c r="AY82" s="238" t="s">
        <v>226</v>
      </c>
      <c r="AZ82" s="239"/>
      <c r="BA82" s="239"/>
      <c r="BB82" s="239"/>
      <c r="BC82" s="239"/>
      <c r="BD82" s="239"/>
      <c r="BE82" s="239"/>
      <c r="BF82" s="240"/>
    </row>
    <row r="83" spans="1:47" ht="1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row>
    <row r="84" spans="1:51" ht="19.5" customHeight="1">
      <c r="A84" s="334" t="str">
        <f>"Regolazione : "&amp;AY84&amp;IF(AV84=4,"","  -  Carico del motore : "&amp;TEXT(AW84*100,"00,0")&amp;"%")</f>
        <v>Regolazione : Carico Elettrico Comanda  -  Carico del motore : 45,0%</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34"/>
      <c r="AV84" s="229">
        <f>VLOOKUP($AV81,DbCasi,Pot!$H$9+1)</f>
        <v>1</v>
      </c>
      <c r="AW84" s="230">
        <f>VLOOKUP($AV81,DbCasi,Pot!$I$9+1)</f>
        <v>0.45</v>
      </c>
      <c r="AY84" s="127" t="str">
        <f>CHOOSE(AV84,"Carico Elettrico Comanda","Carico Termico Comanda","","Motore a carico massimo","Motore a carico minimo")</f>
        <v>Carico Elettrico Comanda</v>
      </c>
    </row>
    <row r="85" spans="1:47" ht="19.5" customHeight="1">
      <c r="A85" s="410" t="str">
        <f>A45</f>
        <v>Questa condizione di funzionamento è stata valutata unicamente per valutarne l'impatto sul MOL</v>
      </c>
      <c r="B85" s="410"/>
      <c r="C85" s="410"/>
      <c r="D85" s="410"/>
      <c r="E85" s="410"/>
      <c r="F85" s="410"/>
      <c r="G85" s="410"/>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10"/>
      <c r="AM85" s="410"/>
      <c r="AN85" s="410"/>
      <c r="AO85" s="410"/>
      <c r="AP85" s="410"/>
      <c r="AQ85" s="410"/>
      <c r="AR85" s="410"/>
      <c r="AS85" s="410"/>
      <c r="AT85" s="410"/>
      <c r="AU85" s="410"/>
    </row>
    <row r="86" spans="1:47" ht="19.5" customHeight="1">
      <c r="A86" s="410" t="str">
        <f>A46</f>
        <v>Il motore non può funzionare al di sotto del carico minimo fissato dal Costruttore</v>
      </c>
      <c r="B86" s="410"/>
      <c r="C86" s="410"/>
      <c r="D86" s="410"/>
      <c r="E86" s="410"/>
      <c r="F86" s="410"/>
      <c r="G86" s="410"/>
      <c r="H86" s="410"/>
      <c r="I86" s="410"/>
      <c r="J86" s="410"/>
      <c r="K86" s="410"/>
      <c r="L86" s="410"/>
      <c r="M86" s="410"/>
      <c r="N86" s="410"/>
      <c r="O86" s="410"/>
      <c r="P86" s="410"/>
      <c r="Q86" s="410"/>
      <c r="R86" s="410"/>
      <c r="S86" s="410"/>
      <c r="T86" s="410"/>
      <c r="U86" s="410"/>
      <c r="V86" s="410"/>
      <c r="W86" s="410"/>
      <c r="X86" s="410"/>
      <c r="Y86" s="410"/>
      <c r="Z86" s="410"/>
      <c r="AA86" s="410"/>
      <c r="AB86" s="410"/>
      <c r="AC86" s="410"/>
      <c r="AD86" s="410"/>
      <c r="AE86" s="410"/>
      <c r="AF86" s="410"/>
      <c r="AG86" s="410"/>
      <c r="AH86" s="410"/>
      <c r="AI86" s="410"/>
      <c r="AJ86" s="410"/>
      <c r="AK86" s="410"/>
      <c r="AL86" s="410"/>
      <c r="AM86" s="410"/>
      <c r="AN86" s="410"/>
      <c r="AO86" s="410"/>
      <c r="AP86" s="410"/>
      <c r="AQ86" s="410"/>
      <c r="AR86" s="410"/>
      <c r="AS86" s="410"/>
      <c r="AT86" s="410"/>
      <c r="AU86" s="410"/>
    </row>
    <row r="87" spans="1:47" ht="19.5" customHeight="1" hidden="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row>
    <row r="88" spans="1:47" ht="19.5" customHeight="1" hidden="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row>
    <row r="89" spans="1:47" ht="19.5" customHeight="1" hidden="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row>
    <row r="90" spans="1:47" ht="19.5" customHeight="1" hidden="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row>
    <row r="91" ht="19.5" customHeight="1"/>
    <row r="92" spans="1:47" ht="15.75">
      <c r="A92" s="333"/>
      <c r="B92" s="333"/>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3"/>
      <c r="AC92" s="333"/>
      <c r="AD92" s="333"/>
      <c r="AE92" s="333"/>
      <c r="AF92" s="333"/>
      <c r="AG92" s="333"/>
      <c r="AH92" s="333"/>
      <c r="AI92" s="333"/>
      <c r="AJ92" s="333"/>
      <c r="AK92" s="333"/>
      <c r="AL92" s="333"/>
      <c r="AM92" s="333"/>
      <c r="AN92" s="333"/>
      <c r="AO92" s="333"/>
      <c r="AP92" s="333"/>
      <c r="AQ92" s="333"/>
      <c r="AR92" s="333"/>
      <c r="AS92" s="333"/>
      <c r="AT92" s="333"/>
      <c r="AU92" s="333"/>
    </row>
    <row r="93" ht="15.75">
      <c r="A93" s="128"/>
    </row>
    <row r="94" ht="15.75">
      <c r="A94" s="128"/>
    </row>
    <row r="95" ht="12.75" customHeight="1"/>
    <row r="96" spans="15:26" ht="18">
      <c r="O96" s="170" t="s">
        <v>157</v>
      </c>
      <c r="W96" s="169" t="s">
        <v>156</v>
      </c>
      <c r="X96" s="129"/>
      <c r="Y96" s="129"/>
      <c r="Z96" s="129"/>
    </row>
    <row r="97" spans="9:29" ht="15.75">
      <c r="I97" s="337">
        <f>VLOOKUP($AV$81,DbCasi,Pot!$T$9+1)</f>
        <v>45</v>
      </c>
      <c r="J97" s="337"/>
      <c r="K97" s="138" t="s">
        <v>161</v>
      </c>
      <c r="AA97" s="337">
        <f>VLOOKUP($AV$81,DbCasi,Pot!$Q$9+1)</f>
        <v>450</v>
      </c>
      <c r="AB97" s="337"/>
      <c r="AC97" s="130" t="s">
        <v>161</v>
      </c>
    </row>
    <row r="98" spans="23:35" ht="12.75" customHeight="1">
      <c r="W98" s="128" t="str">
        <f>TEXT(AA97,"#.##0")&amp;" kW x "&amp;Testo!$J$77&amp;" Euro/kWh = "</f>
        <v>450 kW x 0,039 Euro/kWh = </v>
      </c>
      <c r="AG98" s="383">
        <f>ROUND(AA97*Testo!$J$77,1)</f>
        <v>17.6</v>
      </c>
      <c r="AH98" s="383"/>
      <c r="AI98" s="130" t="s">
        <v>165</v>
      </c>
    </row>
    <row r="99" ht="15.75" customHeight="1"/>
    <row r="100" ht="18">
      <c r="AG100" s="134" t="s">
        <v>162</v>
      </c>
    </row>
    <row r="101" spans="37:39" ht="12.75" customHeight="1" thickBot="1">
      <c r="AK101" s="337">
        <f>VLOOKUP($AV$81,DbCasi,Pot!$P$9+1)</f>
        <v>0</v>
      </c>
      <c r="AL101" s="337"/>
      <c r="AM101" s="130" t="s">
        <v>161</v>
      </c>
    </row>
    <row r="102" spans="14:48" ht="15" customHeight="1">
      <c r="N102" s="384" t="s">
        <v>144</v>
      </c>
      <c r="O102" s="384"/>
      <c r="P102" s="384"/>
      <c r="Q102" s="384"/>
      <c r="R102" s="384"/>
      <c r="T102" s="131"/>
      <c r="U102" s="132"/>
      <c r="V102" s="132"/>
      <c r="W102" s="132"/>
      <c r="X102" s="132"/>
      <c r="Y102" s="132"/>
      <c r="Z102" s="132"/>
      <c r="AA102" s="132"/>
      <c r="AB102" s="132"/>
      <c r="AC102" s="132"/>
      <c r="AD102" s="133"/>
      <c r="AE102" s="134"/>
      <c r="AG102" s="128" t="str">
        <f>TEXT(AK101,"#.##0")&amp;" kW x "&amp;TEXT(Testo!$J$75,"0,00")&amp;" Euro/kWh = "</f>
        <v>0 kW x 0,07 Euro/kWh = </v>
      </c>
      <c r="AP102" s="383">
        <f>ROUND(AK101*Testo!$J$75,1)</f>
        <v>0</v>
      </c>
      <c r="AQ102" s="383"/>
      <c r="AR102" s="130" t="s">
        <v>165</v>
      </c>
      <c r="AV102" s="136"/>
    </row>
    <row r="103" spans="1:48" ht="15.75" customHeight="1">
      <c r="A103" s="130" t="str">
        <f>TEXT(AA109,"#.##0")&amp;"kW / "&amp;Testo!$J$10&amp;" kWh/Sm3 = "</f>
        <v>1.125kW / 9,59 kWh/Sm3 = </v>
      </c>
      <c r="B103" s="130"/>
      <c r="C103" s="130"/>
      <c r="D103" s="130"/>
      <c r="E103" s="130"/>
      <c r="F103" s="130"/>
      <c r="G103" s="130"/>
      <c r="H103" s="130"/>
      <c r="I103" s="130"/>
      <c r="J103" s="333">
        <f>AA109/Testo!$J$10</f>
        <v>117.3096976016684</v>
      </c>
      <c r="K103" s="333"/>
      <c r="L103" s="130" t="s">
        <v>164</v>
      </c>
      <c r="N103" s="384"/>
      <c r="O103" s="384"/>
      <c r="P103" s="384"/>
      <c r="Q103" s="384"/>
      <c r="R103" s="384"/>
      <c r="T103" s="135"/>
      <c r="U103" s="335" t="s">
        <v>145</v>
      </c>
      <c r="V103" s="336"/>
      <c r="W103" s="336"/>
      <c r="X103" s="336"/>
      <c r="Y103" s="336"/>
      <c r="Z103" s="336"/>
      <c r="AA103" s="336"/>
      <c r="AB103" s="336"/>
      <c r="AC103" s="336"/>
      <c r="AD103" s="137"/>
      <c r="AV103" s="136"/>
    </row>
    <row r="104" spans="1:48" ht="15.75" customHeight="1">
      <c r="A104" s="130" t="str">
        <f>TEXT(J103,"000")&amp;"Sm3/h x "&amp;Testo!$J$15&amp;" Euro/Sm3 = "</f>
        <v>117Sm3/h x 0,3 Euro/Sm3 = </v>
      </c>
      <c r="B104" s="138"/>
      <c r="C104" s="138"/>
      <c r="D104" s="138"/>
      <c r="E104" s="138"/>
      <c r="F104" s="138"/>
      <c r="G104" s="138"/>
      <c r="H104" s="138"/>
      <c r="I104" s="138"/>
      <c r="J104" s="333">
        <f>ROUND(J103*Testo!$J$15,1)</f>
        <v>35.2</v>
      </c>
      <c r="K104" s="333"/>
      <c r="L104" s="130" t="s">
        <v>165</v>
      </c>
      <c r="T104" s="135"/>
      <c r="U104" s="336"/>
      <c r="V104" s="336"/>
      <c r="W104" s="336"/>
      <c r="X104" s="336"/>
      <c r="Y104" s="336"/>
      <c r="Z104" s="336"/>
      <c r="AA104" s="336"/>
      <c r="AB104" s="336"/>
      <c r="AC104" s="336"/>
      <c r="AD104" s="137"/>
      <c r="AV104" s="136"/>
    </row>
    <row r="105" spans="1:48" ht="12.75" customHeight="1">
      <c r="A105" s="138"/>
      <c r="B105" s="138"/>
      <c r="C105" s="138"/>
      <c r="D105" s="138"/>
      <c r="E105" s="138"/>
      <c r="F105" s="138"/>
      <c r="G105" s="138"/>
      <c r="H105" s="138"/>
      <c r="I105" s="138"/>
      <c r="J105" s="138"/>
      <c r="K105" s="138"/>
      <c r="L105" s="138"/>
      <c r="T105" s="135"/>
      <c r="U105" s="336"/>
      <c r="V105" s="336"/>
      <c r="W105" s="336"/>
      <c r="X105" s="336"/>
      <c r="Y105" s="336"/>
      <c r="Z105" s="336"/>
      <c r="AA105" s="336"/>
      <c r="AB105" s="336"/>
      <c r="AC105" s="336"/>
      <c r="AD105" s="137"/>
      <c r="AV105" s="136"/>
    </row>
    <row r="106" spans="20:48" ht="12.75">
      <c r="T106" s="135"/>
      <c r="U106" s="336"/>
      <c r="V106" s="336"/>
      <c r="W106" s="336"/>
      <c r="X106" s="336"/>
      <c r="Y106" s="336"/>
      <c r="Z106" s="336"/>
      <c r="AA106" s="336"/>
      <c r="AB106" s="336"/>
      <c r="AC106" s="336"/>
      <c r="AD106" s="137"/>
      <c r="AV106" s="136"/>
    </row>
    <row r="107" spans="1:48" ht="15.75" customHeight="1">
      <c r="A107" s="333" t="str">
        <f>TEXT(AA107,"#.##0")&amp;" kW x "&amp;Testo!$J$17&amp;" Euro/kWh = "</f>
        <v>450 kW x 0,011 Euro/kWh = </v>
      </c>
      <c r="B107" s="333"/>
      <c r="C107" s="333"/>
      <c r="D107" s="333"/>
      <c r="E107" s="333"/>
      <c r="F107" s="333"/>
      <c r="G107" s="333"/>
      <c r="H107" s="333"/>
      <c r="I107" s="333"/>
      <c r="J107" s="383">
        <f>ROUND(AA107*Testo!$J$17,1)</f>
        <v>5</v>
      </c>
      <c r="K107" s="383"/>
      <c r="L107" s="390" t="s">
        <v>165</v>
      </c>
      <c r="M107" s="390"/>
      <c r="T107" s="177" t="s">
        <v>158</v>
      </c>
      <c r="U107" s="136"/>
      <c r="V107" s="136"/>
      <c r="W107" s="136"/>
      <c r="X107" s="136"/>
      <c r="Y107" s="136"/>
      <c r="Z107" s="136"/>
      <c r="AA107" s="386">
        <f>VLOOKUP($AV$81,DbCasi,Pot!$J$9+1)</f>
        <v>450</v>
      </c>
      <c r="AB107" s="386"/>
      <c r="AC107" s="176" t="s">
        <v>141</v>
      </c>
      <c r="AD107" s="137"/>
      <c r="AG107" s="134" t="s">
        <v>163</v>
      </c>
      <c r="AV107" s="136"/>
    </row>
    <row r="108" spans="1:39" ht="15.75" customHeight="1">
      <c r="A108" s="333"/>
      <c r="B108" s="333"/>
      <c r="C108" s="333"/>
      <c r="D108" s="333"/>
      <c r="E108" s="333"/>
      <c r="F108" s="333"/>
      <c r="G108" s="333"/>
      <c r="H108" s="333"/>
      <c r="I108" s="333"/>
      <c r="J108" s="383"/>
      <c r="K108" s="383"/>
      <c r="L108" s="390"/>
      <c r="M108" s="390"/>
      <c r="N108" s="385" t="s">
        <v>146</v>
      </c>
      <c r="O108" s="385"/>
      <c r="P108" s="385"/>
      <c r="Q108" s="385"/>
      <c r="R108" s="385"/>
      <c r="T108" s="177" t="s">
        <v>159</v>
      </c>
      <c r="U108" s="136"/>
      <c r="V108" s="136"/>
      <c r="W108" s="136"/>
      <c r="X108" s="136"/>
      <c r="Y108" s="136"/>
      <c r="Z108" s="136"/>
      <c r="AA108" s="386">
        <f>VLOOKUP($AV$81,DbCasi,Pot!$K$9+1)</f>
        <v>495</v>
      </c>
      <c r="AB108" s="386"/>
      <c r="AC108" s="176" t="s">
        <v>141</v>
      </c>
      <c r="AD108" s="137"/>
      <c r="AK108" s="337">
        <f>VLOOKUP($AV$81,DbCasi,Pot!$N$9+1)</f>
        <v>450</v>
      </c>
      <c r="AL108" s="337"/>
      <c r="AM108" s="130" t="s">
        <v>161</v>
      </c>
    </row>
    <row r="109" spans="14:44" ht="15.75" customHeight="1">
      <c r="N109" s="385"/>
      <c r="O109" s="385"/>
      <c r="P109" s="385"/>
      <c r="Q109" s="385"/>
      <c r="R109" s="385"/>
      <c r="T109" s="177" t="s">
        <v>160</v>
      </c>
      <c r="U109" s="136"/>
      <c r="V109" s="136"/>
      <c r="W109" s="136"/>
      <c r="X109" s="136"/>
      <c r="Y109" s="136"/>
      <c r="Z109" s="136"/>
      <c r="AA109" s="386">
        <f>VLOOKUP($AV$81,DbCasi,Pot!$L$9+1)</f>
        <v>1125</v>
      </c>
      <c r="AB109" s="386"/>
      <c r="AC109" s="176" t="s">
        <v>141</v>
      </c>
      <c r="AD109" s="137"/>
      <c r="AG109" s="128" t="str">
        <f>TEXT(AK108,"#.##0")&amp;" kW x "&amp;TEXT(Testo!$J$74,"0,00")&amp;" Euro/kWh = "</f>
        <v>450 kW x 0,10 Euro/kWh = </v>
      </c>
      <c r="AP109" s="383">
        <f>ROUND(AK108*Testo!$J$74,0)</f>
        <v>45</v>
      </c>
      <c r="AQ109" s="383"/>
      <c r="AR109" s="130" t="s">
        <v>165</v>
      </c>
    </row>
    <row r="110" spans="20:31" ht="15.75" customHeight="1" thickBot="1">
      <c r="T110" s="139"/>
      <c r="U110" s="140"/>
      <c r="V110" s="140"/>
      <c r="W110" s="140"/>
      <c r="X110" s="140"/>
      <c r="Y110" s="140"/>
      <c r="Z110" s="140"/>
      <c r="AA110" s="140"/>
      <c r="AB110" s="140"/>
      <c r="AC110" s="140"/>
      <c r="AD110" s="141"/>
      <c r="AE110" s="128"/>
    </row>
    <row r="111" spans="20:31" ht="15.75" customHeight="1">
      <c r="T111" s="136"/>
      <c r="U111" s="136"/>
      <c r="V111" s="136"/>
      <c r="W111" s="136"/>
      <c r="X111" s="136"/>
      <c r="Y111" s="136"/>
      <c r="Z111" s="136"/>
      <c r="AA111" s="136"/>
      <c r="AB111" s="136"/>
      <c r="AC111" s="136"/>
      <c r="AD111" s="136"/>
      <c r="AE111" s="128"/>
    </row>
    <row r="112" spans="20:31" ht="15.75" customHeight="1">
      <c r="T112" s="136"/>
      <c r="U112" s="136"/>
      <c r="V112" s="136"/>
      <c r="W112" s="136"/>
      <c r="X112" s="136"/>
      <c r="Y112" s="136"/>
      <c r="Z112" s="136"/>
      <c r="AA112" s="136"/>
      <c r="AB112" s="136"/>
      <c r="AC112" s="136"/>
      <c r="AD112" s="136"/>
      <c r="AE112" s="128"/>
    </row>
    <row r="113" spans="1:46" ht="18" customHeight="1">
      <c r="A113" s="142"/>
      <c r="B113" s="186" t="s">
        <v>171</v>
      </c>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8"/>
      <c r="Z113" s="387" t="s">
        <v>168</v>
      </c>
      <c r="AA113" s="388"/>
      <c r="AB113" s="388"/>
      <c r="AC113" s="388"/>
      <c r="AD113" s="388"/>
      <c r="AE113" s="388"/>
      <c r="AF113" s="389"/>
      <c r="AG113" s="387" t="s">
        <v>169</v>
      </c>
      <c r="AH113" s="388"/>
      <c r="AI113" s="388"/>
      <c r="AJ113" s="388"/>
      <c r="AK113" s="388"/>
      <c r="AL113" s="388"/>
      <c r="AM113" s="389"/>
      <c r="AN113" s="400" t="s">
        <v>198</v>
      </c>
      <c r="AO113" s="401"/>
      <c r="AP113" s="401"/>
      <c r="AQ113" s="401"/>
      <c r="AR113" s="401"/>
      <c r="AS113" s="401"/>
      <c r="AT113" s="402"/>
    </row>
    <row r="114" spans="1:46" ht="18">
      <c r="A114" s="143"/>
      <c r="B114" s="191" t="str">
        <f>Eco!$B$11</f>
        <v> - ricavi da energia elettrica cogenerata vs. stabilimento</v>
      </c>
      <c r="C114" s="178"/>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80"/>
      <c r="Z114" s="391">
        <f>AP109</f>
        <v>45</v>
      </c>
      <c r="AA114" s="392"/>
      <c r="AB114" s="392"/>
      <c r="AC114" s="392"/>
      <c r="AD114" s="392"/>
      <c r="AE114" s="189"/>
      <c r="AF114" s="190"/>
      <c r="AG114" s="391"/>
      <c r="AH114" s="392"/>
      <c r="AI114" s="392"/>
      <c r="AJ114" s="392"/>
      <c r="AK114" s="392"/>
      <c r="AL114" s="189"/>
      <c r="AM114" s="190"/>
      <c r="AN114" s="403"/>
      <c r="AO114" s="404"/>
      <c r="AP114" s="404"/>
      <c r="AQ114" s="404"/>
      <c r="AR114" s="404"/>
      <c r="AS114" s="404"/>
      <c r="AT114" s="405"/>
    </row>
    <row r="115" spans="1:46" ht="18">
      <c r="A115" s="143"/>
      <c r="B115" s="191" t="str">
        <f>Eco!$B$12</f>
        <v> - ricavi da energia elettrica esportata</v>
      </c>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80"/>
      <c r="Z115" s="391">
        <f>AP102</f>
        <v>0</v>
      </c>
      <c r="AA115" s="392"/>
      <c r="AB115" s="392"/>
      <c r="AC115" s="392"/>
      <c r="AD115" s="392"/>
      <c r="AE115" s="189"/>
      <c r="AF115" s="190"/>
      <c r="AG115" s="391"/>
      <c r="AH115" s="392"/>
      <c r="AI115" s="392"/>
      <c r="AJ115" s="392"/>
      <c r="AK115" s="392"/>
      <c r="AL115" s="189"/>
      <c r="AM115" s="190"/>
      <c r="AN115" s="403"/>
      <c r="AO115" s="404"/>
      <c r="AP115" s="404"/>
      <c r="AQ115" s="404"/>
      <c r="AR115" s="404"/>
      <c r="AS115" s="404"/>
      <c r="AT115" s="405"/>
    </row>
    <row r="116" spans="1:46" ht="18">
      <c r="A116" s="143"/>
      <c r="B116" s="191" t="str">
        <f>Eco!$B$13</f>
        <v> - ricavi da energia termica cogenerata</v>
      </c>
      <c r="C116" s="181"/>
      <c r="D116" s="181"/>
      <c r="E116" s="181"/>
      <c r="F116" s="182"/>
      <c r="G116" s="182"/>
      <c r="H116" s="182"/>
      <c r="I116" s="182"/>
      <c r="J116" s="182"/>
      <c r="K116" s="182"/>
      <c r="L116" s="182"/>
      <c r="M116" s="182"/>
      <c r="N116" s="182"/>
      <c r="O116" s="182"/>
      <c r="P116" s="182"/>
      <c r="Q116" s="182"/>
      <c r="R116" s="182"/>
      <c r="S116" s="182"/>
      <c r="T116" s="182"/>
      <c r="U116" s="182"/>
      <c r="V116" s="182"/>
      <c r="W116" s="182"/>
      <c r="X116" s="182"/>
      <c r="Y116" s="183"/>
      <c r="Z116" s="391">
        <f>AG98</f>
        <v>17.6</v>
      </c>
      <c r="AA116" s="392"/>
      <c r="AB116" s="392"/>
      <c r="AC116" s="392"/>
      <c r="AD116" s="392"/>
      <c r="AE116" s="189"/>
      <c r="AF116" s="190"/>
      <c r="AG116" s="391"/>
      <c r="AH116" s="392"/>
      <c r="AI116" s="392"/>
      <c r="AJ116" s="392"/>
      <c r="AK116" s="392"/>
      <c r="AL116" s="189"/>
      <c r="AM116" s="190"/>
      <c r="AN116" s="403"/>
      <c r="AO116" s="404"/>
      <c r="AP116" s="404"/>
      <c r="AQ116" s="404"/>
      <c r="AR116" s="404"/>
      <c r="AS116" s="404"/>
      <c r="AT116" s="405"/>
    </row>
    <row r="117" spans="1:46" ht="18">
      <c r="A117" s="143"/>
      <c r="B117" s="191" t="str">
        <f>Eco!$B$15</f>
        <v> - costo gas naturale per cogeneratore</v>
      </c>
      <c r="C117" s="181"/>
      <c r="D117" s="181"/>
      <c r="E117" s="181"/>
      <c r="F117" s="182"/>
      <c r="G117" s="182"/>
      <c r="H117" s="182"/>
      <c r="I117" s="182"/>
      <c r="J117" s="182"/>
      <c r="K117" s="182"/>
      <c r="L117" s="182"/>
      <c r="M117" s="182"/>
      <c r="N117" s="182"/>
      <c r="O117" s="182"/>
      <c r="P117" s="182"/>
      <c r="Q117" s="182"/>
      <c r="R117" s="182"/>
      <c r="S117" s="182"/>
      <c r="T117" s="182"/>
      <c r="U117" s="182"/>
      <c r="V117" s="182"/>
      <c r="W117" s="182"/>
      <c r="X117" s="182"/>
      <c r="Y117" s="183"/>
      <c r="Z117" s="391"/>
      <c r="AA117" s="392"/>
      <c r="AB117" s="392"/>
      <c r="AC117" s="392"/>
      <c r="AD117" s="392"/>
      <c r="AE117" s="189"/>
      <c r="AF117" s="190"/>
      <c r="AG117" s="391">
        <f>-J104</f>
        <v>-35.2</v>
      </c>
      <c r="AH117" s="392"/>
      <c r="AI117" s="392"/>
      <c r="AJ117" s="392"/>
      <c r="AK117" s="392"/>
      <c r="AL117" s="189"/>
      <c r="AM117" s="190"/>
      <c r="AN117" s="403"/>
      <c r="AO117" s="404"/>
      <c r="AP117" s="404"/>
      <c r="AQ117" s="404"/>
      <c r="AR117" s="404"/>
      <c r="AS117" s="404"/>
      <c r="AT117" s="405"/>
    </row>
    <row r="118" spans="1:46" ht="18">
      <c r="A118" s="128"/>
      <c r="B118" s="191" t="str">
        <f>Eco!$B$17</f>
        <v> - costo manutenzione cogeneratore</v>
      </c>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84"/>
      <c r="Z118" s="391"/>
      <c r="AA118" s="392"/>
      <c r="AB118" s="392"/>
      <c r="AC118" s="392"/>
      <c r="AD118" s="392"/>
      <c r="AE118" s="189"/>
      <c r="AF118" s="190"/>
      <c r="AG118" s="391">
        <f>-J107</f>
        <v>-5</v>
      </c>
      <c r="AH118" s="392"/>
      <c r="AI118" s="392"/>
      <c r="AJ118" s="392"/>
      <c r="AK118" s="392"/>
      <c r="AL118" s="189"/>
      <c r="AM118" s="190"/>
      <c r="AN118" s="406"/>
      <c r="AO118" s="407"/>
      <c r="AP118" s="407"/>
      <c r="AQ118" s="407"/>
      <c r="AR118" s="407"/>
      <c r="AS118" s="407"/>
      <c r="AT118" s="408"/>
    </row>
    <row r="119" spans="1:46" ht="15.75">
      <c r="A119" s="128"/>
      <c r="B119" s="185" t="s">
        <v>170</v>
      </c>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84"/>
      <c r="Z119" s="393">
        <f>SUM(Z114:AF118)</f>
        <v>62.6</v>
      </c>
      <c r="AA119" s="394"/>
      <c r="AB119" s="394"/>
      <c r="AC119" s="394"/>
      <c r="AD119" s="394"/>
      <c r="AE119" s="189"/>
      <c r="AF119" s="190"/>
      <c r="AG119" s="393">
        <f>SUM(AG114:AM118)</f>
        <v>-40.2</v>
      </c>
      <c r="AH119" s="394"/>
      <c r="AI119" s="394"/>
      <c r="AJ119" s="394"/>
      <c r="AK119" s="394"/>
      <c r="AL119" s="189"/>
      <c r="AM119" s="190"/>
      <c r="AN119" s="397">
        <f>+Z119+AG119</f>
        <v>22.4</v>
      </c>
      <c r="AO119" s="398"/>
      <c r="AP119" s="398"/>
      <c r="AQ119" s="398"/>
      <c r="AR119" s="398"/>
      <c r="AS119" s="398"/>
      <c r="AT119" s="399"/>
    </row>
    <row r="120" spans="1:40" ht="18">
      <c r="A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sheetData>
  <mergeCells count="120">
    <mergeCell ref="AN119:AT119"/>
    <mergeCell ref="AG117:AK117"/>
    <mergeCell ref="Z118:AD118"/>
    <mergeCell ref="AG118:AK118"/>
    <mergeCell ref="Z119:AD119"/>
    <mergeCell ref="AG119:AK119"/>
    <mergeCell ref="AN113:AT118"/>
    <mergeCell ref="Z114:AD114"/>
    <mergeCell ref="AG114:AK114"/>
    <mergeCell ref="Z115:AD115"/>
    <mergeCell ref="AG98:AH98"/>
    <mergeCell ref="AK101:AL101"/>
    <mergeCell ref="A107:I108"/>
    <mergeCell ref="J107:K108"/>
    <mergeCell ref="L107:M108"/>
    <mergeCell ref="N108:R109"/>
    <mergeCell ref="AA108:AB108"/>
    <mergeCell ref="AK108:AL108"/>
    <mergeCell ref="AA109:AB109"/>
    <mergeCell ref="J103:K103"/>
    <mergeCell ref="A81:AU81"/>
    <mergeCell ref="A82:AU82"/>
    <mergeCell ref="A84:AU84"/>
    <mergeCell ref="I97:J97"/>
    <mergeCell ref="AA97:AB97"/>
    <mergeCell ref="A85:AU85"/>
    <mergeCell ref="A86:AU86"/>
    <mergeCell ref="AG78:AK78"/>
    <mergeCell ref="Z79:AD79"/>
    <mergeCell ref="AG79:AK79"/>
    <mergeCell ref="AN79:AT79"/>
    <mergeCell ref="Z78:AD78"/>
    <mergeCell ref="J67:K68"/>
    <mergeCell ref="L67:M68"/>
    <mergeCell ref="AA67:AB67"/>
    <mergeCell ref="N68:R69"/>
    <mergeCell ref="AA68:AB68"/>
    <mergeCell ref="AA69:AB69"/>
    <mergeCell ref="A4:AU4"/>
    <mergeCell ref="A44:AU44"/>
    <mergeCell ref="A52:AU52"/>
    <mergeCell ref="I57:J57"/>
    <mergeCell ref="AN39:AT39"/>
    <mergeCell ref="Z34:AD34"/>
    <mergeCell ref="Z35:AD35"/>
    <mergeCell ref="Z36:AD36"/>
    <mergeCell ref="Z37:AD37"/>
    <mergeCell ref="Z38:AD38"/>
    <mergeCell ref="AG116:AK116"/>
    <mergeCell ref="A41:AU41"/>
    <mergeCell ref="A42:AU42"/>
    <mergeCell ref="AN33:AT38"/>
    <mergeCell ref="N62:R63"/>
    <mergeCell ref="AP62:AQ62"/>
    <mergeCell ref="J63:K63"/>
    <mergeCell ref="U63:AC66"/>
    <mergeCell ref="J64:K64"/>
    <mergeCell ref="A67:I68"/>
    <mergeCell ref="Z117:AD117"/>
    <mergeCell ref="AP109:AQ109"/>
    <mergeCell ref="AA107:AB107"/>
    <mergeCell ref="N102:R103"/>
    <mergeCell ref="AP102:AQ102"/>
    <mergeCell ref="U103:AC106"/>
    <mergeCell ref="AG115:AK115"/>
    <mergeCell ref="Z113:AF113"/>
    <mergeCell ref="AG113:AM113"/>
    <mergeCell ref="Z116:AD116"/>
    <mergeCell ref="J104:K104"/>
    <mergeCell ref="A92:AU92"/>
    <mergeCell ref="AN73:AT78"/>
    <mergeCell ref="Z74:AD74"/>
    <mergeCell ref="AG74:AK74"/>
    <mergeCell ref="Z75:AD75"/>
    <mergeCell ref="AG75:AK75"/>
    <mergeCell ref="Z76:AD76"/>
    <mergeCell ref="Z77:AD77"/>
    <mergeCell ref="AG77:AK77"/>
    <mergeCell ref="AP69:AQ69"/>
    <mergeCell ref="Z73:AF73"/>
    <mergeCell ref="AG73:AM73"/>
    <mergeCell ref="AG76:AK76"/>
    <mergeCell ref="AK68:AL68"/>
    <mergeCell ref="AG58:AH58"/>
    <mergeCell ref="AK61:AL61"/>
    <mergeCell ref="AA57:AB57"/>
    <mergeCell ref="Z33:AF33"/>
    <mergeCell ref="AG33:AM33"/>
    <mergeCell ref="Z39:AD39"/>
    <mergeCell ref="AG34:AK34"/>
    <mergeCell ref="AG35:AK35"/>
    <mergeCell ref="AG36:AK36"/>
    <mergeCell ref="AG38:AK38"/>
    <mergeCell ref="AG39:AK39"/>
    <mergeCell ref="AG37:AK37"/>
    <mergeCell ref="N28:R29"/>
    <mergeCell ref="J27:K28"/>
    <mergeCell ref="AA29:AB29"/>
    <mergeCell ref="J24:K24"/>
    <mergeCell ref="L27:M28"/>
    <mergeCell ref="A2:AU2"/>
    <mergeCell ref="A1:AU1"/>
    <mergeCell ref="J23:K23"/>
    <mergeCell ref="AP29:AQ29"/>
    <mergeCell ref="AP22:AQ22"/>
    <mergeCell ref="A12:AU12"/>
    <mergeCell ref="U23:AC26"/>
    <mergeCell ref="AA27:AB27"/>
    <mergeCell ref="AA28:AB28"/>
    <mergeCell ref="A27:I28"/>
    <mergeCell ref="A5:AU5"/>
    <mergeCell ref="A6:AU6"/>
    <mergeCell ref="A45:AU45"/>
    <mergeCell ref="A46:AU46"/>
    <mergeCell ref="AA17:AB17"/>
    <mergeCell ref="I17:J17"/>
    <mergeCell ref="AK21:AL21"/>
    <mergeCell ref="AK28:AL28"/>
    <mergeCell ref="AG18:AH18"/>
    <mergeCell ref="N22:R23"/>
  </mergeCells>
  <printOptions horizontalCentered="1"/>
  <pageMargins left="0.5905511811023623" right="0.5905511811023623" top="0.984251968503937" bottom="0.5905511811023623" header="0.5118110236220472" footer="0.31496062992125984"/>
  <pageSetup horizontalDpi="300" verticalDpi="300" orientation="landscape" paperSize="9" scale="80" r:id="rId2"/>
  <headerFooter alignWithMargins="0">
    <oddFooter>&amp;RCogenerazione - Pag. &amp;P</oddFooter>
  </headerFooter>
  <rowBreaks count="2" manualBreakCount="2">
    <brk id="40" max="255" man="1"/>
    <brk id="80" max="255" man="1"/>
  </rowBreaks>
  <drawing r:id="rId1"/>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40625" defaultRowHeight="12.75"/>
  <cols>
    <col min="1" max="1" width="4.28125" style="8" customWidth="1"/>
    <col min="2" max="2" width="46.421875" style="8" customWidth="1"/>
    <col min="3" max="5" width="11.140625" style="8" customWidth="1"/>
    <col min="6" max="16384" width="9.140625" style="8" customWidth="1"/>
  </cols>
  <sheetData>
    <row r="1" spans="1:5" ht="12.75">
      <c r="A1" s="10" t="str">
        <f>Curdura!B1</f>
        <v>ANALISI ECONOMICA DI UN SISTEMA DI COGENERAZIONE</v>
      </c>
      <c r="B1" s="61"/>
      <c r="C1" s="62"/>
      <c r="D1" s="61"/>
      <c r="E1" s="61"/>
    </row>
    <row r="2" spans="1:5" ht="12.75">
      <c r="A2" s="36" t="str">
        <f>Pot!B2</f>
        <v>MODALITA' DI REGOLAZIONE: MASSIMA COPERTURA DEL FABBISOGNO</v>
      </c>
      <c r="B2" s="61"/>
      <c r="C2" s="62"/>
      <c r="D2" s="61"/>
      <c r="E2" s="61"/>
    </row>
    <row r="3" spans="1:5" ht="12.75">
      <c r="A3" s="10" t="s">
        <v>79</v>
      </c>
      <c r="B3" s="61"/>
      <c r="C3" s="62"/>
      <c r="D3" s="61"/>
      <c r="E3" s="61"/>
    </row>
    <row r="4" spans="1:5" ht="12.75">
      <c r="A4" s="10"/>
      <c r="B4" s="61"/>
      <c r="C4" s="62"/>
      <c r="D4" s="61"/>
      <c r="E4" s="61"/>
    </row>
    <row r="5" spans="1:5" ht="18.75" customHeight="1">
      <c r="A5" s="26" t="s">
        <v>29</v>
      </c>
      <c r="B5" s="63"/>
      <c r="C5" s="27"/>
      <c r="D5" s="28"/>
      <c r="E5" s="29"/>
    </row>
    <row r="6" spans="1:5" ht="22.5" customHeight="1">
      <c r="A6" s="11" t="s">
        <v>45</v>
      </c>
      <c r="B6" s="12"/>
      <c r="C6" s="9"/>
      <c r="D6" s="35"/>
      <c r="E6" s="158">
        <f>-Testo!$J$42/1000</f>
        <v>-1700</v>
      </c>
    </row>
    <row r="7" spans="1:5" ht="22.5" customHeight="1">
      <c r="A7" s="11" t="s">
        <v>30</v>
      </c>
      <c r="B7" s="12"/>
      <c r="C7" s="9"/>
      <c r="D7" s="34"/>
      <c r="E7" s="35"/>
    </row>
    <row r="8" spans="1:5" ht="25.5">
      <c r="A8" s="13" t="s">
        <v>29</v>
      </c>
      <c r="B8" s="14"/>
      <c r="C8" s="15" t="s">
        <v>40</v>
      </c>
      <c r="D8" s="16" t="s">
        <v>41</v>
      </c>
      <c r="E8" s="17" t="s">
        <v>42</v>
      </c>
    </row>
    <row r="9" spans="1:5" ht="26.25" customHeight="1">
      <c r="A9" s="18"/>
      <c r="B9" s="19"/>
      <c r="C9" s="20" t="s">
        <v>38</v>
      </c>
      <c r="D9" s="21" t="s">
        <v>44</v>
      </c>
      <c r="E9" s="22" t="s">
        <v>43</v>
      </c>
    </row>
    <row r="10" spans="1:5" ht="15.75" customHeight="1">
      <c r="A10" s="13" t="s">
        <v>31</v>
      </c>
      <c r="B10" s="14" t="s">
        <v>32</v>
      </c>
      <c r="C10" s="155"/>
      <c r="D10" s="156"/>
      <c r="E10" s="157"/>
    </row>
    <row r="11" spans="1:5" ht="12.75">
      <c r="A11" s="18"/>
      <c r="B11" s="19" t="s">
        <v>173</v>
      </c>
      <c r="C11" s="161">
        <f>Ene!L19</f>
        <v>4808</v>
      </c>
      <c r="D11" s="159">
        <f>Testo!J7*1000</f>
        <v>100</v>
      </c>
      <c r="E11" s="31">
        <f aca="true" t="shared" si="0" ref="E11:E17">ROUND(C11*D11/1000,1)</f>
        <v>480.8</v>
      </c>
    </row>
    <row r="12" spans="1:5" ht="12.75">
      <c r="A12" s="18"/>
      <c r="B12" s="19" t="s">
        <v>80</v>
      </c>
      <c r="C12" s="161">
        <f>Ene!N19</f>
        <v>227.45454545454538</v>
      </c>
      <c r="D12" s="159">
        <f>Testo!J14*1000</f>
        <v>70</v>
      </c>
      <c r="E12" s="31">
        <f t="shared" si="0"/>
        <v>15.9</v>
      </c>
    </row>
    <row r="13" spans="1:5" ht="12.75">
      <c r="A13" s="18"/>
      <c r="B13" s="19" t="s">
        <v>33</v>
      </c>
      <c r="C13" s="161">
        <f>Ene!O19</f>
        <v>5191</v>
      </c>
      <c r="D13" s="159">
        <f>ROUND(Testo!J$9*1000/(Testo!J$10*Testo!J$11),1)</f>
        <v>39.1</v>
      </c>
      <c r="E13" s="31">
        <f t="shared" si="0"/>
        <v>203</v>
      </c>
    </row>
    <row r="14" spans="1:5" ht="12.75">
      <c r="A14" s="18"/>
      <c r="B14" s="19" t="s">
        <v>51</v>
      </c>
      <c r="C14" s="161">
        <f>Ene!P19</f>
        <v>260</v>
      </c>
      <c r="D14" s="159">
        <f>D13</f>
        <v>39.1</v>
      </c>
      <c r="E14" s="31">
        <f t="shared" si="0"/>
        <v>10.2</v>
      </c>
    </row>
    <row r="15" spans="1:5" ht="12.75">
      <c r="A15" s="18"/>
      <c r="B15" s="19" t="s">
        <v>34</v>
      </c>
      <c r="C15" s="161">
        <f>Ene!S19</f>
        <v>12588.636363636364</v>
      </c>
      <c r="D15" s="159">
        <f>-ROUND(Testo!J15*1000/(Testo!J$10),1)</f>
        <v>-31.3</v>
      </c>
      <c r="E15" s="31">
        <f t="shared" si="0"/>
        <v>-394</v>
      </c>
    </row>
    <row r="16" spans="1:5" ht="12.75">
      <c r="A16" s="18"/>
      <c r="B16" s="19" t="s">
        <v>52</v>
      </c>
      <c r="C16" s="275">
        <f>Ene!T19</f>
        <v>295.4545454545455</v>
      </c>
      <c r="D16" s="159">
        <f>-ROUND(Testo!J$9*1000/(Testo!J$10),1)</f>
        <v>-34.4</v>
      </c>
      <c r="E16" s="31">
        <f t="shared" si="0"/>
        <v>-10.2</v>
      </c>
    </row>
    <row r="17" spans="1:5" ht="12.75">
      <c r="A17" s="23"/>
      <c r="B17" s="24" t="s">
        <v>47</v>
      </c>
      <c r="C17" s="162">
        <f>Ene!K19</f>
        <v>5035.454545454545</v>
      </c>
      <c r="D17" s="160">
        <f>-ROUND(Testo!J$17*1000,1)</f>
        <v>-11</v>
      </c>
      <c r="E17" s="32">
        <f t="shared" si="0"/>
        <v>-55.4</v>
      </c>
    </row>
    <row r="18" spans="1:5" ht="15.75" customHeight="1">
      <c r="A18" s="18" t="s">
        <v>35</v>
      </c>
      <c r="B18" s="25" t="s">
        <v>36</v>
      </c>
      <c r="C18" s="30"/>
      <c r="D18" s="33"/>
      <c r="E18" s="31"/>
    </row>
    <row r="19" spans="1:5" ht="12.75">
      <c r="A19" s="18"/>
      <c r="B19" s="25" t="s">
        <v>37</v>
      </c>
      <c r="C19" s="30"/>
      <c r="D19" s="33"/>
      <c r="E19" s="159">
        <f>-Testo!J16/1000</f>
        <v>-15</v>
      </c>
    </row>
    <row r="20" spans="1:5" ht="24" customHeight="1">
      <c r="A20" s="11" t="s">
        <v>46</v>
      </c>
      <c r="B20" s="12"/>
      <c r="C20" s="64"/>
      <c r="D20" s="64"/>
      <c r="E20" s="65">
        <f>SUM(E11:E19)</f>
        <v>235.3000000000001</v>
      </c>
    </row>
  </sheetData>
  <printOptions horizontalCentered="1"/>
  <pageMargins left="0.984251968503937" right="0.5905511811023623" top="0.7874015748031497" bottom="0.7874015748031497" header="0.5118110236220472" footer="0.5118110236220472"/>
  <pageSetup horizontalDpi="300" verticalDpi="300" orientation="landscape" paperSize="9" scale="145" r:id="rId1"/>
  <headerFooter alignWithMargins="0">
    <oddFooter>&amp;RCogenerazione - Pag. &amp;P</oddFooter>
  </headerFooter>
</worksheet>
</file>

<file path=xl/worksheets/sheet12.xml><?xml version="1.0" encoding="utf-8"?>
<worksheet xmlns="http://schemas.openxmlformats.org/spreadsheetml/2006/main" xmlns:r="http://schemas.openxmlformats.org/officeDocument/2006/relationships">
  <sheetPr codeName="Foglio23"/>
  <dimension ref="A1:P118"/>
  <sheetViews>
    <sheetView showGridLines="0" showZeros="0" workbookViewId="0" topLeftCell="A1">
      <selection activeCell="A1" sqref="A1"/>
    </sheetView>
  </sheetViews>
  <sheetFormatPr defaultColWidth="9.140625" defaultRowHeight="12.75"/>
  <cols>
    <col min="1" max="1" width="1.7109375" style="74" customWidth="1"/>
    <col min="2" max="2" width="11.28125" style="74" customWidth="1"/>
    <col min="3" max="6" width="16.7109375" style="74" customWidth="1"/>
    <col min="7" max="7" width="1.7109375" style="74" customWidth="1"/>
    <col min="8" max="8" width="9.140625" style="74" customWidth="1"/>
    <col min="9" max="11" width="9.140625" style="74" hidden="1" customWidth="1"/>
    <col min="12" max="13" width="9.7109375" style="74" hidden="1" customWidth="1"/>
    <col min="14" max="14" width="10.8515625" style="74" hidden="1" customWidth="1"/>
    <col min="15" max="15" width="12.7109375" style="74" customWidth="1"/>
    <col min="16" max="16384" width="9.140625" style="74" customWidth="1"/>
  </cols>
  <sheetData>
    <row r="1" spans="1:2" ht="6" customHeight="1">
      <c r="A1" s="73"/>
      <c r="B1" s="73"/>
    </row>
    <row r="2" spans="1:7" ht="12.75">
      <c r="A2" s="75" t="s">
        <v>119</v>
      </c>
      <c r="B2" s="75"/>
      <c r="C2" s="76"/>
      <c r="D2" s="76"/>
      <c r="E2" s="76"/>
      <c r="F2" s="76"/>
      <c r="G2" s="76"/>
    </row>
    <row r="3" spans="1:7" ht="12.75">
      <c r="A3" s="75" t="s">
        <v>120</v>
      </c>
      <c r="B3" s="75"/>
      <c r="C3" s="76"/>
      <c r="D3" s="76"/>
      <c r="E3" s="76"/>
      <c r="F3" s="76"/>
      <c r="G3" s="76"/>
    </row>
    <row r="4" spans="1:7" ht="12.75">
      <c r="A4" s="75" t="s">
        <v>121</v>
      </c>
      <c r="B4" s="75"/>
      <c r="C4" s="76"/>
      <c r="D4" s="76"/>
      <c r="E4" s="76"/>
      <c r="F4" s="76"/>
      <c r="G4" s="76"/>
    </row>
    <row r="5" spans="1:7" ht="12.75">
      <c r="A5" s="75" t="s">
        <v>122</v>
      </c>
      <c r="B5" s="75"/>
      <c r="C5" s="76"/>
      <c r="D5" s="76"/>
      <c r="E5" s="76"/>
      <c r="F5" s="76"/>
      <c r="G5" s="76"/>
    </row>
    <row r="6" spans="1:2" ht="6" customHeight="1">
      <c r="A6" s="73"/>
      <c r="B6" s="73"/>
    </row>
    <row r="8" spans="1:7" ht="12.75">
      <c r="A8" s="76" t="s">
        <v>195</v>
      </c>
      <c r="B8" s="76"/>
      <c r="C8" s="76"/>
      <c r="D8" s="76"/>
      <c r="E8" s="76"/>
      <c r="F8" s="76"/>
      <c r="G8" s="76"/>
    </row>
    <row r="10" spans="1:7" ht="12.75">
      <c r="A10" s="78"/>
      <c r="B10" s="79"/>
      <c r="C10" s="79"/>
      <c r="D10" s="79"/>
      <c r="E10" s="79"/>
      <c r="F10" s="79"/>
      <c r="G10" s="80"/>
    </row>
    <row r="11" spans="1:7" ht="12.75">
      <c r="A11" s="84"/>
      <c r="B11" s="77" t="s">
        <v>105</v>
      </c>
      <c r="C11" s="77"/>
      <c r="D11" s="224">
        <v>21</v>
      </c>
      <c r="E11" s="77" t="s">
        <v>106</v>
      </c>
      <c r="F11" s="77"/>
      <c r="G11" s="83"/>
    </row>
    <row r="12" spans="1:7" ht="12.75">
      <c r="A12" s="84"/>
      <c r="B12" s="77" t="s">
        <v>107</v>
      </c>
      <c r="C12" s="77"/>
      <c r="D12" s="209">
        <v>0.05</v>
      </c>
      <c r="E12" s="77"/>
      <c r="F12" s="77"/>
      <c r="G12" s="83"/>
    </row>
    <row r="13" spans="1:7" ht="12.75">
      <c r="A13" s="85"/>
      <c r="B13" s="86"/>
      <c r="C13" s="86"/>
      <c r="D13" s="86"/>
      <c r="E13" s="86"/>
      <c r="F13" s="86"/>
      <c r="G13" s="87"/>
    </row>
    <row r="14" spans="1:7" ht="12.75">
      <c r="A14" s="78"/>
      <c r="B14" s="79"/>
      <c r="C14" s="79"/>
      <c r="D14" s="79"/>
      <c r="E14" s="79"/>
      <c r="F14" s="79"/>
      <c r="G14" s="80"/>
    </row>
    <row r="15" spans="1:7" ht="12.75">
      <c r="A15" s="84"/>
      <c r="B15" s="78"/>
      <c r="C15" s="93"/>
      <c r="D15" s="79"/>
      <c r="E15" s="93"/>
      <c r="F15" s="93"/>
      <c r="G15" s="83"/>
    </row>
    <row r="16" spans="1:7" ht="12.75">
      <c r="A16" s="84"/>
      <c r="B16" s="81" t="s">
        <v>108</v>
      </c>
      <c r="C16" s="94" t="s">
        <v>109</v>
      </c>
      <c r="D16" s="82" t="s">
        <v>109</v>
      </c>
      <c r="E16" s="94" t="s">
        <v>110</v>
      </c>
      <c r="F16" s="94" t="s">
        <v>111</v>
      </c>
      <c r="G16" s="83"/>
    </row>
    <row r="17" spans="1:7" ht="12.75">
      <c r="A17" s="84"/>
      <c r="B17" s="84"/>
      <c r="C17" s="94" t="s">
        <v>112</v>
      </c>
      <c r="D17" s="82" t="s">
        <v>113</v>
      </c>
      <c r="E17" s="94" t="s">
        <v>114</v>
      </c>
      <c r="F17" s="94" t="s">
        <v>114</v>
      </c>
      <c r="G17" s="83"/>
    </row>
    <row r="18" spans="1:14" ht="12.75">
      <c r="A18" s="84"/>
      <c r="B18" s="85"/>
      <c r="C18" s="290" t="s">
        <v>197</v>
      </c>
      <c r="D18" s="97" t="s">
        <v>197</v>
      </c>
      <c r="E18" s="290" t="s">
        <v>197</v>
      </c>
      <c r="F18" s="290" t="s">
        <v>197</v>
      </c>
      <c r="G18" s="83"/>
      <c r="I18" s="210"/>
      <c r="J18" s="210"/>
      <c r="K18" s="211"/>
      <c r="L18" s="212" t="s">
        <v>192</v>
      </c>
      <c r="M18" s="212" t="s">
        <v>193</v>
      </c>
      <c r="N18" s="212" t="s">
        <v>194</v>
      </c>
    </row>
    <row r="19" spans="1:14" ht="12.75" hidden="1">
      <c r="A19" s="84"/>
      <c r="B19" s="78"/>
      <c r="C19" s="291"/>
      <c r="D19" s="88"/>
      <c r="E19" s="291"/>
      <c r="F19" s="291"/>
      <c r="G19" s="83"/>
      <c r="L19" s="213"/>
      <c r="M19" s="213"/>
      <c r="N19" s="213"/>
    </row>
    <row r="20" spans="1:16" ht="12.75">
      <c r="A20" s="289">
        <v>1</v>
      </c>
      <c r="B20" s="89">
        <f aca="true" t="shared" si="0" ref="B20:B49">IF(A20&lt;=$D$11,A20,0)</f>
        <v>1</v>
      </c>
      <c r="C20" s="292">
        <f>Eco!E6*1000</f>
        <v>-1700000</v>
      </c>
      <c r="D20" s="295">
        <f aca="true" t="shared" si="1" ref="D20:D49">IF(B20&gt;0,D19+C20,0)</f>
        <v>-1700000</v>
      </c>
      <c r="E20" s="296">
        <f aca="true" t="shared" si="2" ref="E20:E49">C20/((1+$D$12)^($B20-1))</f>
        <v>-1700000</v>
      </c>
      <c r="F20" s="293">
        <f aca="true" t="shared" si="3" ref="F20:F49">IF(B20&gt;0,F19+E20,0)</f>
        <v>-1700000</v>
      </c>
      <c r="G20" s="83"/>
      <c r="H20" s="90"/>
      <c r="I20" s="214">
        <f aca="true" t="shared" si="4" ref="I20:I49">IF((F20*F21)&lt;0,1,0)</f>
        <v>0</v>
      </c>
      <c r="J20" s="214">
        <f aca="true" t="shared" si="5" ref="J20:J49">IF(I19=1,1,0)</f>
        <v>0</v>
      </c>
      <c r="K20" s="215">
        <f aca="true" t="shared" si="6" ref="K20:K49">SUM(I20:J20)</f>
        <v>0</v>
      </c>
      <c r="L20" s="216">
        <f aca="true" t="shared" si="7" ref="L20:L49">IF(K20=1,F20,0)</f>
        <v>0</v>
      </c>
      <c r="M20" s="217">
        <f aca="true" t="shared" si="8" ref="M20:M49">IF(L21&gt;0,B21-((B21-B20)/(L21-L20)*L21),0)</f>
        <v>0</v>
      </c>
      <c r="N20" s="216">
        <f aca="true" t="shared" si="9" ref="N20:N49">IF(E20&lt;0,E20,0)</f>
        <v>-1700000</v>
      </c>
      <c r="O20" s="255">
        <v>1</v>
      </c>
      <c r="P20" s="74" t="s">
        <v>238</v>
      </c>
    </row>
    <row r="21" spans="1:14" ht="12.75">
      <c r="A21" s="289">
        <v>2</v>
      </c>
      <c r="B21" s="89">
        <f t="shared" si="0"/>
        <v>2</v>
      </c>
      <c r="C21" s="292">
        <f>IF(B21&gt;0,Eco!$E$20*1000,0)</f>
        <v>235300.0000000001</v>
      </c>
      <c r="D21" s="295">
        <f t="shared" si="1"/>
        <v>-1464700</v>
      </c>
      <c r="E21" s="296">
        <f t="shared" si="2"/>
        <v>224095.23809523816</v>
      </c>
      <c r="F21" s="293">
        <f t="shared" si="3"/>
        <v>-1475904.761904762</v>
      </c>
      <c r="G21" s="83"/>
      <c r="H21" s="90"/>
      <c r="I21" s="214">
        <f t="shared" si="4"/>
        <v>0</v>
      </c>
      <c r="J21" s="214">
        <f t="shared" si="5"/>
        <v>0</v>
      </c>
      <c r="K21" s="215">
        <f t="shared" si="6"/>
        <v>0</v>
      </c>
      <c r="L21" s="216">
        <f t="shared" si="7"/>
        <v>0</v>
      </c>
      <c r="M21" s="217">
        <f t="shared" si="8"/>
        <v>0</v>
      </c>
      <c r="N21" s="216">
        <f t="shared" si="9"/>
        <v>0</v>
      </c>
    </row>
    <row r="22" spans="1:14" ht="12.75">
      <c r="A22" s="289">
        <v>3</v>
      </c>
      <c r="B22" s="89">
        <f t="shared" si="0"/>
        <v>3</v>
      </c>
      <c r="C22" s="292">
        <f>IF(B22&gt;0,Eco!$E$20*1000,0)</f>
        <v>235300.0000000001</v>
      </c>
      <c r="D22" s="295">
        <f t="shared" si="1"/>
        <v>-1229400</v>
      </c>
      <c r="E22" s="296">
        <f t="shared" si="2"/>
        <v>213424.0362811792</v>
      </c>
      <c r="F22" s="293">
        <f t="shared" si="3"/>
        <v>-1262480.7256235827</v>
      </c>
      <c r="G22" s="83"/>
      <c r="H22" s="90"/>
      <c r="I22" s="214">
        <f t="shared" si="4"/>
        <v>0</v>
      </c>
      <c r="J22" s="214">
        <f t="shared" si="5"/>
        <v>0</v>
      </c>
      <c r="K22" s="215">
        <f t="shared" si="6"/>
        <v>0</v>
      </c>
      <c r="L22" s="216">
        <f t="shared" si="7"/>
        <v>0</v>
      </c>
      <c r="M22" s="217">
        <f t="shared" si="8"/>
        <v>0</v>
      </c>
      <c r="N22" s="216">
        <f t="shared" si="9"/>
        <v>0</v>
      </c>
    </row>
    <row r="23" spans="1:14" ht="12.75">
      <c r="A23" s="289">
        <v>4</v>
      </c>
      <c r="B23" s="89">
        <f t="shared" si="0"/>
        <v>4</v>
      </c>
      <c r="C23" s="292">
        <f>IF(B23&gt;0,Eco!$E$20*1000,0)</f>
        <v>235300.0000000001</v>
      </c>
      <c r="D23" s="295">
        <f t="shared" si="1"/>
        <v>-994099.9999999999</v>
      </c>
      <c r="E23" s="296">
        <f t="shared" si="2"/>
        <v>203260.98693445636</v>
      </c>
      <c r="F23" s="293">
        <f t="shared" si="3"/>
        <v>-1059219.7386891264</v>
      </c>
      <c r="G23" s="83"/>
      <c r="H23" s="90"/>
      <c r="I23" s="214">
        <f t="shared" si="4"/>
        <v>0</v>
      </c>
      <c r="J23" s="214">
        <f t="shared" si="5"/>
        <v>0</v>
      </c>
      <c r="K23" s="215">
        <f t="shared" si="6"/>
        <v>0</v>
      </c>
      <c r="L23" s="216">
        <f t="shared" si="7"/>
        <v>0</v>
      </c>
      <c r="M23" s="217">
        <f t="shared" si="8"/>
        <v>0</v>
      </c>
      <c r="N23" s="216">
        <f t="shared" si="9"/>
        <v>0</v>
      </c>
    </row>
    <row r="24" spans="1:14" ht="12.75">
      <c r="A24" s="289">
        <v>5</v>
      </c>
      <c r="B24" s="89">
        <f t="shared" si="0"/>
        <v>5</v>
      </c>
      <c r="C24" s="292">
        <f>IF(B24&gt;0,Eco!$E$20*1000,0)</f>
        <v>235300.0000000001</v>
      </c>
      <c r="D24" s="295">
        <f t="shared" si="1"/>
        <v>-758799.9999999998</v>
      </c>
      <c r="E24" s="296">
        <f t="shared" si="2"/>
        <v>193581.8923185299</v>
      </c>
      <c r="F24" s="293">
        <f t="shared" si="3"/>
        <v>-865637.8463705966</v>
      </c>
      <c r="G24" s="83"/>
      <c r="H24" s="90"/>
      <c r="I24" s="214">
        <f t="shared" si="4"/>
        <v>0</v>
      </c>
      <c r="J24" s="214">
        <f t="shared" si="5"/>
        <v>0</v>
      </c>
      <c r="K24" s="215">
        <f t="shared" si="6"/>
        <v>0</v>
      </c>
      <c r="L24" s="216">
        <f t="shared" si="7"/>
        <v>0</v>
      </c>
      <c r="M24" s="217">
        <f t="shared" si="8"/>
        <v>0</v>
      </c>
      <c r="N24" s="216">
        <f t="shared" si="9"/>
        <v>0</v>
      </c>
    </row>
    <row r="25" spans="1:14" ht="12.75">
      <c r="A25" s="289">
        <v>6</v>
      </c>
      <c r="B25" s="89">
        <f t="shared" si="0"/>
        <v>6</v>
      </c>
      <c r="C25" s="292">
        <f>IF(B25&gt;0,Eco!$E$20*1000,0)</f>
        <v>235300.0000000001</v>
      </c>
      <c r="D25" s="295">
        <f t="shared" si="1"/>
        <v>-523499.99999999965</v>
      </c>
      <c r="E25" s="296">
        <f t="shared" si="2"/>
        <v>184363.70697002846</v>
      </c>
      <c r="F25" s="293">
        <f t="shared" si="3"/>
        <v>-681274.1394005681</v>
      </c>
      <c r="G25" s="83"/>
      <c r="H25" s="90"/>
      <c r="I25" s="214">
        <f t="shared" si="4"/>
        <v>0</v>
      </c>
      <c r="J25" s="214">
        <f t="shared" si="5"/>
        <v>0</v>
      </c>
      <c r="K25" s="215">
        <f t="shared" si="6"/>
        <v>0</v>
      </c>
      <c r="L25" s="216">
        <f t="shared" si="7"/>
        <v>0</v>
      </c>
      <c r="M25" s="217">
        <f t="shared" si="8"/>
        <v>0</v>
      </c>
      <c r="N25" s="216">
        <f t="shared" si="9"/>
        <v>0</v>
      </c>
    </row>
    <row r="26" spans="1:14" ht="12.75">
      <c r="A26" s="289">
        <v>7</v>
      </c>
      <c r="B26" s="89">
        <f t="shared" si="0"/>
        <v>7</v>
      </c>
      <c r="C26" s="292">
        <f>IF(B26&gt;0,Eco!$E$20*1000,0)</f>
        <v>235300.0000000001</v>
      </c>
      <c r="D26" s="295">
        <f t="shared" si="1"/>
        <v>-288199.99999999953</v>
      </c>
      <c r="E26" s="296">
        <f t="shared" si="2"/>
        <v>175584.48282859856</v>
      </c>
      <c r="F26" s="293">
        <f t="shared" si="3"/>
        <v>-505689.6565719695</v>
      </c>
      <c r="G26" s="83"/>
      <c r="H26" s="90"/>
      <c r="I26" s="214">
        <f t="shared" si="4"/>
        <v>0</v>
      </c>
      <c r="J26" s="214">
        <f t="shared" si="5"/>
        <v>0</v>
      </c>
      <c r="K26" s="215">
        <f t="shared" si="6"/>
        <v>0</v>
      </c>
      <c r="L26" s="216">
        <f t="shared" si="7"/>
        <v>0</v>
      </c>
      <c r="M26" s="217">
        <f t="shared" si="8"/>
        <v>0</v>
      </c>
      <c r="N26" s="216">
        <f t="shared" si="9"/>
        <v>0</v>
      </c>
    </row>
    <row r="27" spans="1:14" ht="12.75">
      <c r="A27" s="289">
        <v>8</v>
      </c>
      <c r="B27" s="89">
        <f t="shared" si="0"/>
        <v>8</v>
      </c>
      <c r="C27" s="292">
        <f>IF(B27&gt;0,Eco!$E$20*1000,0)</f>
        <v>235300.0000000001</v>
      </c>
      <c r="D27" s="295">
        <f t="shared" si="1"/>
        <v>-52899.99999999945</v>
      </c>
      <c r="E27" s="296">
        <f t="shared" si="2"/>
        <v>167223.31697961764</v>
      </c>
      <c r="F27" s="293">
        <f t="shared" si="3"/>
        <v>-338466.33959235187</v>
      </c>
      <c r="G27" s="83"/>
      <c r="H27" s="90"/>
      <c r="I27" s="214">
        <f t="shared" si="4"/>
        <v>0</v>
      </c>
      <c r="J27" s="214">
        <f t="shared" si="5"/>
        <v>0</v>
      </c>
      <c r="K27" s="215">
        <f t="shared" si="6"/>
        <v>0</v>
      </c>
      <c r="L27" s="216">
        <f t="shared" si="7"/>
        <v>0</v>
      </c>
      <c r="M27" s="217">
        <f t="shared" si="8"/>
        <v>0</v>
      </c>
      <c r="N27" s="216">
        <f t="shared" si="9"/>
        <v>0</v>
      </c>
    </row>
    <row r="28" spans="1:14" ht="12.75">
      <c r="A28" s="289">
        <v>9</v>
      </c>
      <c r="B28" s="89">
        <f t="shared" si="0"/>
        <v>9</v>
      </c>
      <c r="C28" s="292">
        <f>IF(B28&gt;0,Eco!$E$20*1000,0)</f>
        <v>235300.0000000001</v>
      </c>
      <c r="D28" s="295">
        <f t="shared" si="1"/>
        <v>182400.00000000064</v>
      </c>
      <c r="E28" s="296">
        <f t="shared" si="2"/>
        <v>159260.30188535014</v>
      </c>
      <c r="F28" s="293">
        <f t="shared" si="3"/>
        <v>-179206.03770700173</v>
      </c>
      <c r="G28" s="83"/>
      <c r="H28" s="90"/>
      <c r="I28" s="214">
        <f t="shared" si="4"/>
        <v>0</v>
      </c>
      <c r="J28" s="214">
        <f t="shared" si="5"/>
        <v>0</v>
      </c>
      <c r="K28" s="215">
        <f t="shared" si="6"/>
        <v>0</v>
      </c>
      <c r="L28" s="216">
        <f t="shared" si="7"/>
        <v>0</v>
      </c>
      <c r="M28" s="217">
        <f t="shared" si="8"/>
        <v>0</v>
      </c>
      <c r="N28" s="216">
        <f t="shared" si="9"/>
        <v>0</v>
      </c>
    </row>
    <row r="29" spans="1:14" ht="12.75">
      <c r="A29" s="289">
        <v>10</v>
      </c>
      <c r="B29" s="89">
        <f t="shared" si="0"/>
        <v>10</v>
      </c>
      <c r="C29" s="292">
        <f>IF(B29&gt;0,Eco!$E$20*1000,0)</f>
        <v>235300.0000000001</v>
      </c>
      <c r="D29" s="295">
        <f t="shared" si="1"/>
        <v>417700.0000000007</v>
      </c>
      <c r="E29" s="296">
        <f t="shared" si="2"/>
        <v>151676.47798604774</v>
      </c>
      <c r="F29" s="293">
        <f t="shared" si="3"/>
        <v>-27529.559720953985</v>
      </c>
      <c r="G29" s="83"/>
      <c r="H29" s="90"/>
      <c r="I29" s="214">
        <f t="shared" si="4"/>
        <v>1</v>
      </c>
      <c r="J29" s="214">
        <f t="shared" si="5"/>
        <v>0</v>
      </c>
      <c r="K29" s="215">
        <f t="shared" si="6"/>
        <v>1</v>
      </c>
      <c r="L29" s="216">
        <f t="shared" si="7"/>
        <v>-27529.559720953985</v>
      </c>
      <c r="M29" s="217">
        <f t="shared" si="8"/>
        <v>10.190576931181516</v>
      </c>
      <c r="N29" s="216">
        <f t="shared" si="9"/>
        <v>0</v>
      </c>
    </row>
    <row r="30" spans="1:14" ht="12.75">
      <c r="A30" s="289">
        <v>11</v>
      </c>
      <c r="B30" s="89">
        <f t="shared" si="0"/>
        <v>11</v>
      </c>
      <c r="C30" s="292">
        <f>IF(B30&gt;0,Eco!$E$20*1000,0)</f>
        <v>235300.0000000001</v>
      </c>
      <c r="D30" s="295">
        <f t="shared" si="1"/>
        <v>653000.0000000008</v>
      </c>
      <c r="E30" s="296">
        <f t="shared" si="2"/>
        <v>144453.78855814072</v>
      </c>
      <c r="F30" s="293">
        <f t="shared" si="3"/>
        <v>116924.22883718673</v>
      </c>
      <c r="G30" s="83"/>
      <c r="H30" s="90"/>
      <c r="I30" s="214">
        <f t="shared" si="4"/>
        <v>0</v>
      </c>
      <c r="J30" s="214">
        <f t="shared" si="5"/>
        <v>1</v>
      </c>
      <c r="K30" s="215">
        <f t="shared" si="6"/>
        <v>1</v>
      </c>
      <c r="L30" s="216">
        <f t="shared" si="7"/>
        <v>116924.22883718673</v>
      </c>
      <c r="M30" s="217">
        <f t="shared" si="8"/>
        <v>0</v>
      </c>
      <c r="N30" s="216">
        <f t="shared" si="9"/>
        <v>0</v>
      </c>
    </row>
    <row r="31" spans="1:14" ht="12.75">
      <c r="A31" s="289">
        <v>12</v>
      </c>
      <c r="B31" s="89">
        <f t="shared" si="0"/>
        <v>12</v>
      </c>
      <c r="C31" s="292">
        <f>IF(B31&gt;0,Eco!$E$20*1000,0)</f>
        <v>235300.0000000001</v>
      </c>
      <c r="D31" s="295">
        <f t="shared" si="1"/>
        <v>888300.0000000009</v>
      </c>
      <c r="E31" s="296">
        <f t="shared" si="2"/>
        <v>137575.03672203879</v>
      </c>
      <c r="F31" s="293">
        <f t="shared" si="3"/>
        <v>254499.26555922552</v>
      </c>
      <c r="G31" s="83"/>
      <c r="H31" s="90"/>
      <c r="I31" s="214">
        <f t="shared" si="4"/>
        <v>0</v>
      </c>
      <c r="J31" s="214">
        <f t="shared" si="5"/>
        <v>0</v>
      </c>
      <c r="K31" s="215">
        <f t="shared" si="6"/>
        <v>0</v>
      </c>
      <c r="L31" s="216">
        <f t="shared" si="7"/>
        <v>0</v>
      </c>
      <c r="M31" s="217">
        <f t="shared" si="8"/>
        <v>0</v>
      </c>
      <c r="N31" s="216">
        <f t="shared" si="9"/>
        <v>0</v>
      </c>
    </row>
    <row r="32" spans="1:14" ht="12.75">
      <c r="A32" s="289">
        <v>13</v>
      </c>
      <c r="B32" s="89">
        <f t="shared" si="0"/>
        <v>13</v>
      </c>
      <c r="C32" s="292">
        <f>IF(B32&gt;0,Eco!$E$20*1000,0)</f>
        <v>235300.0000000001</v>
      </c>
      <c r="D32" s="295">
        <f t="shared" si="1"/>
        <v>1123600.000000001</v>
      </c>
      <c r="E32" s="296">
        <f t="shared" si="2"/>
        <v>131023.8444971798</v>
      </c>
      <c r="F32" s="293">
        <f t="shared" si="3"/>
        <v>385523.1100564053</v>
      </c>
      <c r="G32" s="83"/>
      <c r="H32" s="90"/>
      <c r="I32" s="214">
        <f t="shared" si="4"/>
        <v>0</v>
      </c>
      <c r="J32" s="214">
        <f t="shared" si="5"/>
        <v>0</v>
      </c>
      <c r="K32" s="215">
        <f t="shared" si="6"/>
        <v>0</v>
      </c>
      <c r="L32" s="216">
        <f t="shared" si="7"/>
        <v>0</v>
      </c>
      <c r="M32" s="217">
        <f t="shared" si="8"/>
        <v>0</v>
      </c>
      <c r="N32" s="216">
        <f t="shared" si="9"/>
        <v>0</v>
      </c>
    </row>
    <row r="33" spans="1:14" ht="12.75">
      <c r="A33" s="289">
        <v>14</v>
      </c>
      <c r="B33" s="89">
        <f t="shared" si="0"/>
        <v>14</v>
      </c>
      <c r="C33" s="292">
        <f>IF(B33&gt;0,Eco!$E$20*1000,0)</f>
        <v>235300.0000000001</v>
      </c>
      <c r="D33" s="295">
        <f t="shared" si="1"/>
        <v>1358900.000000001</v>
      </c>
      <c r="E33" s="296">
        <f t="shared" si="2"/>
        <v>124784.61380683788</v>
      </c>
      <c r="F33" s="293">
        <f t="shared" si="3"/>
        <v>510307.7238632432</v>
      </c>
      <c r="G33" s="83"/>
      <c r="H33" s="90"/>
      <c r="I33" s="214">
        <f t="shared" si="4"/>
        <v>0</v>
      </c>
      <c r="J33" s="214">
        <f t="shared" si="5"/>
        <v>0</v>
      </c>
      <c r="K33" s="215">
        <f t="shared" si="6"/>
        <v>0</v>
      </c>
      <c r="L33" s="216">
        <f t="shared" si="7"/>
        <v>0</v>
      </c>
      <c r="M33" s="217">
        <f t="shared" si="8"/>
        <v>0</v>
      </c>
      <c r="N33" s="216">
        <f t="shared" si="9"/>
        <v>0</v>
      </c>
    </row>
    <row r="34" spans="1:14" ht="12.75">
      <c r="A34" s="289">
        <v>15</v>
      </c>
      <c r="B34" s="89">
        <f t="shared" si="0"/>
        <v>15</v>
      </c>
      <c r="C34" s="292">
        <f>IF(B34&gt;0,Eco!$E$20*1000,0)</f>
        <v>235300.0000000001</v>
      </c>
      <c r="D34" s="295">
        <f t="shared" si="1"/>
        <v>1594200.000000001</v>
      </c>
      <c r="E34" s="296">
        <f t="shared" si="2"/>
        <v>118842.48933984563</v>
      </c>
      <c r="F34" s="293">
        <f t="shared" si="3"/>
        <v>629150.2132030888</v>
      </c>
      <c r="G34" s="83"/>
      <c r="H34" s="90"/>
      <c r="I34" s="214">
        <f t="shared" si="4"/>
        <v>0</v>
      </c>
      <c r="J34" s="214">
        <f t="shared" si="5"/>
        <v>0</v>
      </c>
      <c r="K34" s="215">
        <f t="shared" si="6"/>
        <v>0</v>
      </c>
      <c r="L34" s="216">
        <f t="shared" si="7"/>
        <v>0</v>
      </c>
      <c r="M34" s="217">
        <f t="shared" si="8"/>
        <v>0</v>
      </c>
      <c r="N34" s="216">
        <f t="shared" si="9"/>
        <v>0</v>
      </c>
    </row>
    <row r="35" spans="1:14" ht="12.75">
      <c r="A35" s="289">
        <v>16</v>
      </c>
      <c r="B35" s="89">
        <f t="shared" si="0"/>
        <v>16</v>
      </c>
      <c r="C35" s="292">
        <f>IF(B35&gt;0,Eco!$E$20*1000,0)</f>
        <v>235300.0000000001</v>
      </c>
      <c r="D35" s="295">
        <f t="shared" si="1"/>
        <v>1829500.000000001</v>
      </c>
      <c r="E35" s="296">
        <f t="shared" si="2"/>
        <v>113183.32318080532</v>
      </c>
      <c r="F35" s="293">
        <f t="shared" si="3"/>
        <v>742333.5363838942</v>
      </c>
      <c r="G35" s="83"/>
      <c r="H35" s="90"/>
      <c r="I35" s="214">
        <f t="shared" si="4"/>
        <v>0</v>
      </c>
      <c r="J35" s="214">
        <f t="shared" si="5"/>
        <v>0</v>
      </c>
      <c r="K35" s="215">
        <f t="shared" si="6"/>
        <v>0</v>
      </c>
      <c r="L35" s="216">
        <f t="shared" si="7"/>
        <v>0</v>
      </c>
      <c r="M35" s="217">
        <f t="shared" si="8"/>
        <v>0</v>
      </c>
      <c r="N35" s="216">
        <f t="shared" si="9"/>
        <v>0</v>
      </c>
    </row>
    <row r="36" spans="1:14" ht="12.75">
      <c r="A36" s="289">
        <v>17</v>
      </c>
      <c r="B36" s="89">
        <f t="shared" si="0"/>
        <v>17</v>
      </c>
      <c r="C36" s="292">
        <f>IF(B36&gt;0,Eco!$E$20*1000,0)</f>
        <v>235300.0000000001</v>
      </c>
      <c r="D36" s="295">
        <f t="shared" si="1"/>
        <v>2064800.000000001</v>
      </c>
      <c r="E36" s="296">
        <f t="shared" si="2"/>
        <v>107793.64112457652</v>
      </c>
      <c r="F36" s="293">
        <f t="shared" si="3"/>
        <v>850127.1775084707</v>
      </c>
      <c r="G36" s="83"/>
      <c r="H36" s="90"/>
      <c r="I36" s="214">
        <f t="shared" si="4"/>
        <v>0</v>
      </c>
      <c r="J36" s="214">
        <f t="shared" si="5"/>
        <v>0</v>
      </c>
      <c r="K36" s="215">
        <f t="shared" si="6"/>
        <v>0</v>
      </c>
      <c r="L36" s="216">
        <f t="shared" si="7"/>
        <v>0</v>
      </c>
      <c r="M36" s="217">
        <f t="shared" si="8"/>
        <v>0</v>
      </c>
      <c r="N36" s="216">
        <f t="shared" si="9"/>
        <v>0</v>
      </c>
    </row>
    <row r="37" spans="1:14" ht="12.75">
      <c r="A37" s="289">
        <v>18</v>
      </c>
      <c r="B37" s="89">
        <f t="shared" si="0"/>
        <v>18</v>
      </c>
      <c r="C37" s="292">
        <f>IF(B37&gt;0,Eco!$E$20*1000,0)</f>
        <v>235300.0000000001</v>
      </c>
      <c r="D37" s="295">
        <f t="shared" si="1"/>
        <v>2300100.000000001</v>
      </c>
      <c r="E37" s="296">
        <f t="shared" si="2"/>
        <v>102660.61059483475</v>
      </c>
      <c r="F37" s="293">
        <f t="shared" si="3"/>
        <v>952787.7881033055</v>
      </c>
      <c r="G37" s="83"/>
      <c r="H37" s="90"/>
      <c r="I37" s="214">
        <f t="shared" si="4"/>
        <v>0</v>
      </c>
      <c r="J37" s="214">
        <f t="shared" si="5"/>
        <v>0</v>
      </c>
      <c r="K37" s="215">
        <f t="shared" si="6"/>
        <v>0</v>
      </c>
      <c r="L37" s="216">
        <f t="shared" si="7"/>
        <v>0</v>
      </c>
      <c r="M37" s="217">
        <f t="shared" si="8"/>
        <v>0</v>
      </c>
      <c r="N37" s="216">
        <f t="shared" si="9"/>
        <v>0</v>
      </c>
    </row>
    <row r="38" spans="1:14" ht="12.75">
      <c r="A38" s="289">
        <v>19</v>
      </c>
      <c r="B38" s="89">
        <f t="shared" si="0"/>
        <v>19</v>
      </c>
      <c r="C38" s="292">
        <f>IF(B38&gt;0,Eco!$E$20*1000,0)</f>
        <v>235300.0000000001</v>
      </c>
      <c r="D38" s="295">
        <f t="shared" si="1"/>
        <v>2535400.000000001</v>
      </c>
      <c r="E38" s="296">
        <f t="shared" si="2"/>
        <v>97772.01009031881</v>
      </c>
      <c r="F38" s="293">
        <f t="shared" si="3"/>
        <v>1050559.7981936242</v>
      </c>
      <c r="G38" s="83"/>
      <c r="H38" s="90"/>
      <c r="I38" s="214">
        <f t="shared" si="4"/>
        <v>0</v>
      </c>
      <c r="J38" s="214">
        <f t="shared" si="5"/>
        <v>0</v>
      </c>
      <c r="K38" s="215">
        <f t="shared" si="6"/>
        <v>0</v>
      </c>
      <c r="L38" s="216">
        <f t="shared" si="7"/>
        <v>0</v>
      </c>
      <c r="M38" s="217">
        <f t="shared" si="8"/>
        <v>0</v>
      </c>
      <c r="N38" s="216">
        <f t="shared" si="9"/>
        <v>0</v>
      </c>
    </row>
    <row r="39" spans="1:14" ht="12.75">
      <c r="A39" s="289">
        <v>20</v>
      </c>
      <c r="B39" s="89">
        <f t="shared" si="0"/>
        <v>20</v>
      </c>
      <c r="C39" s="292">
        <f>IF(B39&gt;0,Eco!$E$20*1000,0)</f>
        <v>235300.0000000001</v>
      </c>
      <c r="D39" s="295">
        <f t="shared" si="1"/>
        <v>2770700.000000001</v>
      </c>
      <c r="E39" s="296">
        <f t="shared" si="2"/>
        <v>93116.20008601793</v>
      </c>
      <c r="F39" s="293">
        <f t="shared" si="3"/>
        <v>1143675.998279642</v>
      </c>
      <c r="G39" s="83"/>
      <c r="H39" s="90"/>
      <c r="I39" s="214">
        <f t="shared" si="4"/>
        <v>0</v>
      </c>
      <c r="J39" s="214">
        <f t="shared" si="5"/>
        <v>0</v>
      </c>
      <c r="K39" s="215">
        <f t="shared" si="6"/>
        <v>0</v>
      </c>
      <c r="L39" s="216">
        <f t="shared" si="7"/>
        <v>0</v>
      </c>
      <c r="M39" s="217">
        <f t="shared" si="8"/>
        <v>0</v>
      </c>
      <c r="N39" s="216">
        <f t="shared" si="9"/>
        <v>0</v>
      </c>
    </row>
    <row r="40" spans="1:14" ht="12.75">
      <c r="A40" s="289">
        <v>21</v>
      </c>
      <c r="B40" s="89">
        <f t="shared" si="0"/>
        <v>21</v>
      </c>
      <c r="C40" s="292">
        <f>IF(B40&gt;0,Eco!$E$20*1000,0)</f>
        <v>235300.0000000001</v>
      </c>
      <c r="D40" s="295">
        <f t="shared" si="1"/>
        <v>3006000.000000001</v>
      </c>
      <c r="E40" s="296">
        <f t="shared" si="2"/>
        <v>88682.09532001708</v>
      </c>
      <c r="F40" s="293">
        <f t="shared" si="3"/>
        <v>1232358.0935996592</v>
      </c>
      <c r="G40" s="83"/>
      <c r="H40" s="90"/>
      <c r="I40" s="214">
        <f t="shared" si="4"/>
        <v>0</v>
      </c>
      <c r="J40" s="214">
        <f t="shared" si="5"/>
        <v>0</v>
      </c>
      <c r="K40" s="215">
        <f t="shared" si="6"/>
        <v>0</v>
      </c>
      <c r="L40" s="216">
        <f t="shared" si="7"/>
        <v>0</v>
      </c>
      <c r="M40" s="217">
        <f t="shared" si="8"/>
        <v>0</v>
      </c>
      <c r="N40" s="216">
        <f t="shared" si="9"/>
        <v>0</v>
      </c>
    </row>
    <row r="41" spans="1:14" ht="12.75">
      <c r="A41" s="289">
        <v>22</v>
      </c>
      <c r="B41" s="89">
        <f t="shared" si="0"/>
        <v>0</v>
      </c>
      <c r="C41" s="292">
        <f>IF(B41&gt;0,Eco!$E$20*1000,0)</f>
        <v>0</v>
      </c>
      <c r="D41" s="295">
        <f t="shared" si="1"/>
        <v>0</v>
      </c>
      <c r="E41" s="296">
        <f t="shared" si="2"/>
        <v>0</v>
      </c>
      <c r="F41" s="293">
        <f t="shared" si="3"/>
        <v>0</v>
      </c>
      <c r="G41" s="83"/>
      <c r="H41" s="90"/>
      <c r="I41" s="214">
        <f t="shared" si="4"/>
        <v>0</v>
      </c>
      <c r="J41" s="214">
        <f t="shared" si="5"/>
        <v>0</v>
      </c>
      <c r="K41" s="215">
        <f t="shared" si="6"/>
        <v>0</v>
      </c>
      <c r="L41" s="216">
        <f t="shared" si="7"/>
        <v>0</v>
      </c>
      <c r="M41" s="217">
        <f t="shared" si="8"/>
        <v>0</v>
      </c>
      <c r="N41" s="216">
        <f t="shared" si="9"/>
        <v>0</v>
      </c>
    </row>
    <row r="42" spans="1:14" ht="12.75">
      <c r="A42" s="289">
        <v>23</v>
      </c>
      <c r="B42" s="89">
        <f t="shared" si="0"/>
        <v>0</v>
      </c>
      <c r="C42" s="292">
        <f>IF(B42&gt;0,Eco!$E$20*1000,0)</f>
        <v>0</v>
      </c>
      <c r="D42" s="295">
        <f t="shared" si="1"/>
        <v>0</v>
      </c>
      <c r="E42" s="296">
        <f t="shared" si="2"/>
        <v>0</v>
      </c>
      <c r="F42" s="293">
        <f t="shared" si="3"/>
        <v>0</v>
      </c>
      <c r="G42" s="83"/>
      <c r="H42" s="90"/>
      <c r="I42" s="214">
        <f t="shared" si="4"/>
        <v>0</v>
      </c>
      <c r="J42" s="214">
        <f t="shared" si="5"/>
        <v>0</v>
      </c>
      <c r="K42" s="215">
        <f t="shared" si="6"/>
        <v>0</v>
      </c>
      <c r="L42" s="216">
        <f t="shared" si="7"/>
        <v>0</v>
      </c>
      <c r="M42" s="217">
        <f t="shared" si="8"/>
        <v>0</v>
      </c>
      <c r="N42" s="216">
        <f t="shared" si="9"/>
        <v>0</v>
      </c>
    </row>
    <row r="43" spans="1:14" ht="12.75">
      <c r="A43" s="289">
        <v>24</v>
      </c>
      <c r="B43" s="89">
        <f t="shared" si="0"/>
        <v>0</v>
      </c>
      <c r="C43" s="292">
        <f>IF(B43&gt;0,Eco!$E$20*1000,0)</f>
        <v>0</v>
      </c>
      <c r="D43" s="295">
        <f t="shared" si="1"/>
        <v>0</v>
      </c>
      <c r="E43" s="296">
        <f t="shared" si="2"/>
        <v>0</v>
      </c>
      <c r="F43" s="293">
        <f t="shared" si="3"/>
        <v>0</v>
      </c>
      <c r="G43" s="83"/>
      <c r="H43" s="90"/>
      <c r="I43" s="214">
        <f t="shared" si="4"/>
        <v>0</v>
      </c>
      <c r="J43" s="214">
        <f t="shared" si="5"/>
        <v>0</v>
      </c>
      <c r="K43" s="215">
        <f t="shared" si="6"/>
        <v>0</v>
      </c>
      <c r="L43" s="216">
        <f t="shared" si="7"/>
        <v>0</v>
      </c>
      <c r="M43" s="217">
        <f t="shared" si="8"/>
        <v>0</v>
      </c>
      <c r="N43" s="216">
        <f t="shared" si="9"/>
        <v>0</v>
      </c>
    </row>
    <row r="44" spans="1:14" ht="12.75">
      <c r="A44" s="289">
        <v>25</v>
      </c>
      <c r="B44" s="89">
        <f t="shared" si="0"/>
        <v>0</v>
      </c>
      <c r="C44" s="292">
        <f>IF(B44&gt;0,Eco!$E$20*1000,0)</f>
        <v>0</v>
      </c>
      <c r="D44" s="295">
        <f t="shared" si="1"/>
        <v>0</v>
      </c>
      <c r="E44" s="296">
        <f t="shared" si="2"/>
        <v>0</v>
      </c>
      <c r="F44" s="293">
        <f t="shared" si="3"/>
        <v>0</v>
      </c>
      <c r="G44" s="83"/>
      <c r="H44" s="90"/>
      <c r="I44" s="214">
        <f t="shared" si="4"/>
        <v>0</v>
      </c>
      <c r="J44" s="214">
        <f t="shared" si="5"/>
        <v>0</v>
      </c>
      <c r="K44" s="215">
        <f t="shared" si="6"/>
        <v>0</v>
      </c>
      <c r="L44" s="216">
        <f t="shared" si="7"/>
        <v>0</v>
      </c>
      <c r="M44" s="217">
        <f t="shared" si="8"/>
        <v>0</v>
      </c>
      <c r="N44" s="216">
        <f t="shared" si="9"/>
        <v>0</v>
      </c>
    </row>
    <row r="45" spans="1:14" ht="12.75">
      <c r="A45" s="289">
        <v>26</v>
      </c>
      <c r="B45" s="89">
        <f t="shared" si="0"/>
        <v>0</v>
      </c>
      <c r="C45" s="292">
        <f>IF(B45&gt;0,Eco!$E$20*1000,0)</f>
        <v>0</v>
      </c>
      <c r="D45" s="295">
        <f t="shared" si="1"/>
        <v>0</v>
      </c>
      <c r="E45" s="296">
        <f t="shared" si="2"/>
        <v>0</v>
      </c>
      <c r="F45" s="293">
        <f t="shared" si="3"/>
        <v>0</v>
      </c>
      <c r="G45" s="83"/>
      <c r="H45" s="90"/>
      <c r="I45" s="214">
        <f t="shared" si="4"/>
        <v>0</v>
      </c>
      <c r="J45" s="214">
        <f t="shared" si="5"/>
        <v>0</v>
      </c>
      <c r="K45" s="215">
        <f t="shared" si="6"/>
        <v>0</v>
      </c>
      <c r="L45" s="216">
        <f t="shared" si="7"/>
        <v>0</v>
      </c>
      <c r="M45" s="217">
        <f t="shared" si="8"/>
        <v>0</v>
      </c>
      <c r="N45" s="216">
        <f t="shared" si="9"/>
        <v>0</v>
      </c>
    </row>
    <row r="46" spans="1:14" ht="12.75">
      <c r="A46" s="289">
        <v>27</v>
      </c>
      <c r="B46" s="89">
        <f t="shared" si="0"/>
        <v>0</v>
      </c>
      <c r="C46" s="292">
        <f>IF(B46&gt;0,Eco!$E$20*1000,0)</f>
        <v>0</v>
      </c>
      <c r="D46" s="295">
        <f t="shared" si="1"/>
        <v>0</v>
      </c>
      <c r="E46" s="296">
        <f t="shared" si="2"/>
        <v>0</v>
      </c>
      <c r="F46" s="293">
        <f t="shared" si="3"/>
        <v>0</v>
      </c>
      <c r="G46" s="83"/>
      <c r="H46" s="90"/>
      <c r="I46" s="214">
        <f t="shared" si="4"/>
        <v>0</v>
      </c>
      <c r="J46" s="214">
        <f t="shared" si="5"/>
        <v>0</v>
      </c>
      <c r="K46" s="215">
        <f t="shared" si="6"/>
        <v>0</v>
      </c>
      <c r="L46" s="216">
        <f t="shared" si="7"/>
        <v>0</v>
      </c>
      <c r="M46" s="217">
        <f t="shared" si="8"/>
        <v>0</v>
      </c>
      <c r="N46" s="216">
        <f t="shared" si="9"/>
        <v>0</v>
      </c>
    </row>
    <row r="47" spans="1:14" ht="12.75">
      <c r="A47" s="289">
        <v>28</v>
      </c>
      <c r="B47" s="89">
        <f t="shared" si="0"/>
        <v>0</v>
      </c>
      <c r="C47" s="292">
        <f>IF(B47&gt;0,Eco!$E$20*1000,0)</f>
        <v>0</v>
      </c>
      <c r="D47" s="295">
        <f t="shared" si="1"/>
        <v>0</v>
      </c>
      <c r="E47" s="296">
        <f t="shared" si="2"/>
        <v>0</v>
      </c>
      <c r="F47" s="293">
        <f t="shared" si="3"/>
        <v>0</v>
      </c>
      <c r="G47" s="83"/>
      <c r="H47" s="90"/>
      <c r="I47" s="214">
        <f t="shared" si="4"/>
        <v>0</v>
      </c>
      <c r="J47" s="214">
        <f t="shared" si="5"/>
        <v>0</v>
      </c>
      <c r="K47" s="215">
        <f t="shared" si="6"/>
        <v>0</v>
      </c>
      <c r="L47" s="216">
        <f t="shared" si="7"/>
        <v>0</v>
      </c>
      <c r="M47" s="217">
        <f t="shared" si="8"/>
        <v>0</v>
      </c>
      <c r="N47" s="216">
        <f t="shared" si="9"/>
        <v>0</v>
      </c>
    </row>
    <row r="48" spans="1:14" ht="12.75">
      <c r="A48" s="289">
        <v>29</v>
      </c>
      <c r="B48" s="89">
        <f t="shared" si="0"/>
        <v>0</v>
      </c>
      <c r="C48" s="292">
        <f>IF(B48&gt;0,Eco!$E$20*1000,0)</f>
        <v>0</v>
      </c>
      <c r="D48" s="295">
        <f t="shared" si="1"/>
        <v>0</v>
      </c>
      <c r="E48" s="296">
        <f t="shared" si="2"/>
        <v>0</v>
      </c>
      <c r="F48" s="293">
        <f t="shared" si="3"/>
        <v>0</v>
      </c>
      <c r="G48" s="83"/>
      <c r="H48" s="90"/>
      <c r="I48" s="214">
        <f t="shared" si="4"/>
        <v>0</v>
      </c>
      <c r="J48" s="214">
        <f t="shared" si="5"/>
        <v>0</v>
      </c>
      <c r="K48" s="215">
        <f t="shared" si="6"/>
        <v>0</v>
      </c>
      <c r="L48" s="216">
        <f t="shared" si="7"/>
        <v>0</v>
      </c>
      <c r="M48" s="217">
        <f t="shared" si="8"/>
        <v>0</v>
      </c>
      <c r="N48" s="216">
        <f t="shared" si="9"/>
        <v>0</v>
      </c>
    </row>
    <row r="49" spans="1:14" ht="12.75">
      <c r="A49" s="289">
        <v>30</v>
      </c>
      <c r="B49" s="89">
        <f t="shared" si="0"/>
        <v>0</v>
      </c>
      <c r="C49" s="292">
        <f>IF(B49&gt;0,Eco!$E$20*1000,0)</f>
        <v>0</v>
      </c>
      <c r="D49" s="295">
        <f t="shared" si="1"/>
        <v>0</v>
      </c>
      <c r="E49" s="296">
        <f t="shared" si="2"/>
        <v>0</v>
      </c>
      <c r="F49" s="293">
        <f t="shared" si="3"/>
        <v>0</v>
      </c>
      <c r="G49" s="83"/>
      <c r="H49" s="90"/>
      <c r="I49" s="214">
        <f t="shared" si="4"/>
        <v>0</v>
      </c>
      <c r="J49" s="214">
        <f t="shared" si="5"/>
        <v>0</v>
      </c>
      <c r="K49" s="215">
        <f t="shared" si="6"/>
        <v>0</v>
      </c>
      <c r="L49" s="216">
        <f t="shared" si="7"/>
        <v>0</v>
      </c>
      <c r="M49" s="217">
        <f t="shared" si="8"/>
        <v>0</v>
      </c>
      <c r="N49" s="216">
        <f t="shared" si="9"/>
        <v>0</v>
      </c>
    </row>
    <row r="50" spans="1:14" ht="12.75">
      <c r="A50" s="85"/>
      <c r="B50" s="86"/>
      <c r="C50" s="86"/>
      <c r="D50" s="86"/>
      <c r="E50" s="86"/>
      <c r="F50" s="86"/>
      <c r="G50" s="87"/>
      <c r="H50" s="90"/>
      <c r="I50" s="90"/>
      <c r="J50" s="90"/>
      <c r="K50" s="90"/>
      <c r="N50" s="218">
        <f>SUM(N20:N49)</f>
        <v>-1700000</v>
      </c>
    </row>
    <row r="51" spans="1:11" ht="12.75">
      <c r="A51" s="78"/>
      <c r="B51" s="79"/>
      <c r="C51" s="79"/>
      <c r="D51" s="79"/>
      <c r="E51" s="79"/>
      <c r="F51" s="79"/>
      <c r="G51" s="80"/>
      <c r="H51" s="90"/>
      <c r="I51" s="90"/>
      <c r="J51" s="90"/>
      <c r="K51" s="90"/>
    </row>
    <row r="52" spans="1:11" ht="12.75">
      <c r="A52" s="84"/>
      <c r="B52" s="208" t="s">
        <v>115</v>
      </c>
      <c r="C52" s="208"/>
      <c r="D52" s="219"/>
      <c r="E52" s="220">
        <f>1+($E$53/(ABS($N$50)))</f>
        <v>1.7249165256468584</v>
      </c>
      <c r="F52" s="91"/>
      <c r="G52" s="83"/>
      <c r="H52" s="90"/>
      <c r="I52" s="90"/>
      <c r="J52" s="90"/>
      <c r="K52" s="90"/>
    </row>
    <row r="53" spans="1:15" ht="12.75">
      <c r="A53" s="84"/>
      <c r="B53" s="77" t="s">
        <v>116</v>
      </c>
      <c r="C53" s="77"/>
      <c r="D53" s="92"/>
      <c r="E53" s="221">
        <f>MAX($F$20:$F$49)</f>
        <v>1232358.0935996592</v>
      </c>
      <c r="F53" s="77"/>
      <c r="G53" s="83"/>
      <c r="H53" s="90"/>
      <c r="I53" s="90"/>
      <c r="J53" s="90"/>
      <c r="K53" s="90"/>
      <c r="O53" s="222">
        <f>NPV(D12,C21:C49)+C20</f>
        <v>1232358.093599659</v>
      </c>
    </row>
    <row r="54" spans="1:11" ht="12.75">
      <c r="A54" s="84"/>
      <c r="B54" s="77" t="s">
        <v>117</v>
      </c>
      <c r="C54" s="77"/>
      <c r="D54" s="92"/>
      <c r="E54" s="223">
        <f>MAX($M$20:$M$49)</f>
        <v>10.190576931181516</v>
      </c>
      <c r="F54" s="77"/>
      <c r="G54" s="83"/>
      <c r="H54" s="90"/>
      <c r="I54" s="90"/>
      <c r="J54" s="90"/>
      <c r="K54" s="90"/>
    </row>
    <row r="55" spans="1:11" ht="12.75">
      <c r="A55" s="85"/>
      <c r="B55" s="86"/>
      <c r="C55" s="86"/>
      <c r="D55" s="86"/>
      <c r="E55" s="86"/>
      <c r="F55" s="86"/>
      <c r="G55" s="87"/>
      <c r="H55" s="90"/>
      <c r="I55" s="90"/>
      <c r="J55" s="90"/>
      <c r="K55" s="90"/>
    </row>
    <row r="56" spans="8:11" ht="12.75">
      <c r="H56" s="90"/>
      <c r="I56" s="90"/>
      <c r="J56" s="90"/>
      <c r="K56" s="90"/>
    </row>
    <row r="58" spans="8:11" ht="12.75">
      <c r="H58" s="90"/>
      <c r="I58" s="90"/>
      <c r="J58" s="90"/>
      <c r="K58" s="90"/>
    </row>
    <row r="59" spans="8:11" ht="12.75">
      <c r="H59" s="90"/>
      <c r="I59" s="90"/>
      <c r="J59" s="90"/>
      <c r="K59" s="90"/>
    </row>
    <row r="60" spans="8:11" ht="12.75">
      <c r="H60" s="90"/>
      <c r="I60" s="90"/>
      <c r="J60" s="90"/>
      <c r="K60" s="90"/>
    </row>
    <row r="61" spans="8:11" ht="12.75">
      <c r="H61" s="90"/>
      <c r="I61" s="90"/>
      <c r="J61" s="90"/>
      <c r="K61" s="90"/>
    </row>
    <row r="62" spans="8:11" ht="12.75">
      <c r="H62" s="90"/>
      <c r="I62" s="90"/>
      <c r="J62" s="90"/>
      <c r="K62" s="90"/>
    </row>
    <row r="63" spans="8:11" ht="12.75">
      <c r="H63" s="90"/>
      <c r="I63" s="90"/>
      <c r="J63" s="90"/>
      <c r="K63" s="90"/>
    </row>
    <row r="64" spans="8:11" ht="12.75">
      <c r="H64" s="90"/>
      <c r="I64" s="90"/>
      <c r="J64" s="90"/>
      <c r="K64" s="90"/>
    </row>
    <row r="65" spans="8:11" ht="12.75">
      <c r="H65" s="90"/>
      <c r="I65" s="90"/>
      <c r="J65" s="90"/>
      <c r="K65" s="90"/>
    </row>
    <row r="66" spans="8:11" ht="12.75">
      <c r="H66" s="90"/>
      <c r="I66" s="90"/>
      <c r="J66" s="90"/>
      <c r="K66" s="90"/>
    </row>
    <row r="67" spans="8:11" ht="12.75">
      <c r="H67" s="90"/>
      <c r="I67" s="90"/>
      <c r="J67" s="90"/>
      <c r="K67" s="90"/>
    </row>
    <row r="68" spans="8:11" ht="12.75" hidden="1">
      <c r="H68" s="90"/>
      <c r="I68" s="90"/>
      <c r="J68" s="90"/>
      <c r="K68" s="90"/>
    </row>
    <row r="69" spans="8:11" ht="12.75">
      <c r="H69" s="90"/>
      <c r="I69" s="90"/>
      <c r="J69" s="90"/>
      <c r="K69" s="90"/>
    </row>
    <row r="70" spans="8:11" ht="12.75">
      <c r="H70" s="90"/>
      <c r="I70" s="90"/>
      <c r="J70" s="90"/>
      <c r="K70" s="90"/>
    </row>
    <row r="71" spans="8:11" ht="12.75">
      <c r="H71" s="90"/>
      <c r="I71" s="90"/>
      <c r="J71" s="90"/>
      <c r="K71" s="90"/>
    </row>
    <row r="72" spans="8:11" ht="12.75">
      <c r="H72" s="90"/>
      <c r="I72" s="90"/>
      <c r="J72" s="90"/>
      <c r="K72" s="90"/>
    </row>
    <row r="73" spans="8:11" ht="12.75">
      <c r="H73" s="90"/>
      <c r="I73" s="90"/>
      <c r="J73" s="90"/>
      <c r="K73" s="90"/>
    </row>
    <row r="74" spans="8:11" ht="12.75">
      <c r="H74" s="90"/>
      <c r="I74" s="90"/>
      <c r="J74" s="90"/>
      <c r="K74" s="90"/>
    </row>
    <row r="75" spans="8:11" ht="12.75">
      <c r="H75" s="90"/>
      <c r="I75" s="90"/>
      <c r="J75" s="90"/>
      <c r="K75" s="90"/>
    </row>
    <row r="76" spans="8:11" ht="12.75">
      <c r="H76" s="90"/>
      <c r="I76" s="90"/>
      <c r="J76" s="90"/>
      <c r="K76" s="90"/>
    </row>
    <row r="77" spans="8:11" ht="12.75">
      <c r="H77" s="90"/>
      <c r="I77" s="90"/>
      <c r="J77" s="90"/>
      <c r="K77" s="90"/>
    </row>
    <row r="78" spans="8:11" ht="12.75">
      <c r="H78" s="90"/>
      <c r="I78" s="90"/>
      <c r="J78" s="90"/>
      <c r="K78" s="90"/>
    </row>
    <row r="79" spans="8:11" ht="12.75">
      <c r="H79" s="90"/>
      <c r="I79" s="90"/>
      <c r="J79" s="90"/>
      <c r="K79" s="90"/>
    </row>
    <row r="80" spans="8:11" ht="12.75">
      <c r="H80" s="90"/>
      <c r="I80" s="90"/>
      <c r="J80" s="90"/>
      <c r="K80" s="90"/>
    </row>
    <row r="81" spans="8:11" ht="12.75">
      <c r="H81" s="90"/>
      <c r="I81" s="90"/>
      <c r="J81" s="90"/>
      <c r="K81" s="90"/>
    </row>
    <row r="82" spans="8:11" ht="12.75">
      <c r="H82" s="90"/>
      <c r="I82" s="90"/>
      <c r="J82" s="90"/>
      <c r="K82" s="90"/>
    </row>
    <row r="83" spans="8:11" ht="12.75">
      <c r="H83" s="90"/>
      <c r="I83" s="90"/>
      <c r="J83" s="90"/>
      <c r="K83" s="90"/>
    </row>
    <row r="84" spans="8:11" ht="12.75">
      <c r="H84" s="90"/>
      <c r="I84" s="90"/>
      <c r="J84" s="90"/>
      <c r="K84" s="90"/>
    </row>
    <row r="85" spans="8:11" ht="12.75">
      <c r="H85" s="90"/>
      <c r="I85" s="90"/>
      <c r="J85" s="90"/>
      <c r="K85" s="90"/>
    </row>
    <row r="86" spans="8:11" ht="12.75">
      <c r="H86" s="90"/>
      <c r="I86" s="90"/>
      <c r="J86" s="90"/>
      <c r="K86" s="90"/>
    </row>
    <row r="87" spans="8:11" ht="12.75">
      <c r="H87" s="90"/>
      <c r="I87" s="90"/>
      <c r="J87" s="90"/>
      <c r="K87" s="90"/>
    </row>
    <row r="88" spans="8:11" ht="12.75">
      <c r="H88" s="90"/>
      <c r="I88" s="90"/>
      <c r="J88" s="90"/>
      <c r="K88" s="90"/>
    </row>
    <row r="89" spans="8:11" ht="12.75">
      <c r="H89" s="90"/>
      <c r="I89" s="90"/>
      <c r="J89" s="90"/>
      <c r="K89" s="90"/>
    </row>
    <row r="90" spans="8:11" ht="12.75">
      <c r="H90" s="90"/>
      <c r="I90" s="90"/>
      <c r="J90" s="90"/>
      <c r="K90" s="90"/>
    </row>
    <row r="91" spans="8:11" ht="12.75">
      <c r="H91" s="90"/>
      <c r="I91" s="90"/>
      <c r="J91" s="90"/>
      <c r="K91" s="90"/>
    </row>
    <row r="92" spans="8:11" ht="12.75">
      <c r="H92" s="90"/>
      <c r="I92" s="90"/>
      <c r="J92" s="90"/>
      <c r="K92" s="90"/>
    </row>
    <row r="93" spans="8:11" ht="12.75">
      <c r="H93" s="90"/>
      <c r="I93" s="90"/>
      <c r="J93" s="90"/>
      <c r="K93" s="90"/>
    </row>
    <row r="94" spans="8:11" ht="12.75">
      <c r="H94" s="90"/>
      <c r="I94" s="90"/>
      <c r="J94" s="90"/>
      <c r="K94" s="90"/>
    </row>
    <row r="95" spans="8:11" ht="12.75">
      <c r="H95" s="90"/>
      <c r="I95" s="90"/>
      <c r="J95" s="90"/>
      <c r="K95" s="90"/>
    </row>
    <row r="96" spans="8:11" ht="12.75">
      <c r="H96" s="90"/>
      <c r="I96" s="90"/>
      <c r="J96" s="90"/>
      <c r="K96" s="90"/>
    </row>
    <row r="97" spans="8:11" ht="12.75">
      <c r="H97" s="90"/>
      <c r="I97" s="90"/>
      <c r="J97" s="90"/>
      <c r="K97" s="90"/>
    </row>
    <row r="98" spans="8:11" ht="12.75">
      <c r="H98" s="90"/>
      <c r="I98" s="90"/>
      <c r="J98" s="90"/>
      <c r="K98" s="90"/>
    </row>
    <row r="99" spans="8:11" ht="12.75">
      <c r="H99" s="90"/>
      <c r="I99" s="90"/>
      <c r="J99" s="90"/>
      <c r="K99" s="90"/>
    </row>
    <row r="100" spans="8:11" ht="12.75">
      <c r="H100" s="90"/>
      <c r="I100" s="90"/>
      <c r="J100" s="90"/>
      <c r="K100" s="90"/>
    </row>
    <row r="101" spans="8:11" ht="12.75">
      <c r="H101" s="90"/>
      <c r="I101" s="90"/>
      <c r="J101" s="90"/>
      <c r="K101" s="90"/>
    </row>
    <row r="102" spans="8:11" ht="12.75">
      <c r="H102" s="90"/>
      <c r="I102" s="90"/>
      <c r="J102" s="90"/>
      <c r="K102" s="90"/>
    </row>
    <row r="103" spans="8:11" ht="12.75">
      <c r="H103" s="90"/>
      <c r="I103" s="90"/>
      <c r="J103" s="90"/>
      <c r="K103" s="90"/>
    </row>
    <row r="104" spans="8:11" ht="12.75">
      <c r="H104" s="90"/>
      <c r="I104" s="90"/>
      <c r="J104" s="90"/>
      <c r="K104" s="90"/>
    </row>
    <row r="105" spans="8:11" ht="12.75">
      <c r="H105" s="90"/>
      <c r="I105" s="90"/>
      <c r="J105" s="90"/>
      <c r="K105" s="90"/>
    </row>
    <row r="106" spans="8:11" ht="12.75">
      <c r="H106" s="90"/>
      <c r="I106" s="90"/>
      <c r="J106" s="90"/>
      <c r="K106" s="90"/>
    </row>
    <row r="107" spans="8:11" ht="12.75">
      <c r="H107" s="90"/>
      <c r="I107" s="90"/>
      <c r="J107" s="90"/>
      <c r="K107" s="90"/>
    </row>
    <row r="108" spans="8:11" ht="12.75">
      <c r="H108" s="90"/>
      <c r="I108" s="90"/>
      <c r="J108" s="90"/>
      <c r="K108" s="90"/>
    </row>
    <row r="109" spans="8:11" ht="12.75">
      <c r="H109" s="90"/>
      <c r="I109" s="90"/>
      <c r="J109" s="90"/>
      <c r="K109" s="90"/>
    </row>
    <row r="110" spans="8:11" ht="12.75">
      <c r="H110" s="90"/>
      <c r="I110" s="90"/>
      <c r="J110" s="90"/>
      <c r="K110" s="90"/>
    </row>
    <row r="111" spans="8:11" ht="12.75">
      <c r="H111" s="90"/>
      <c r="I111" s="90"/>
      <c r="J111" s="90"/>
      <c r="K111" s="90"/>
    </row>
    <row r="112" spans="8:11" ht="12.75">
      <c r="H112" s="90"/>
      <c r="I112" s="90"/>
      <c r="J112" s="90"/>
      <c r="K112" s="90"/>
    </row>
    <row r="113" spans="8:11" ht="12.75">
      <c r="H113" s="90"/>
      <c r="I113" s="90"/>
      <c r="J113" s="90"/>
      <c r="K113" s="90"/>
    </row>
    <row r="114" spans="8:11" ht="12.75">
      <c r="H114" s="90"/>
      <c r="I114" s="90"/>
      <c r="J114" s="90"/>
      <c r="K114" s="90"/>
    </row>
    <row r="115" spans="8:11" ht="12.75">
      <c r="H115" s="90"/>
      <c r="I115" s="90"/>
      <c r="J115" s="90"/>
      <c r="K115" s="90"/>
    </row>
    <row r="116" spans="8:11" ht="12.75">
      <c r="H116" s="90"/>
      <c r="I116" s="90"/>
      <c r="J116" s="90"/>
      <c r="K116" s="90"/>
    </row>
    <row r="117" spans="8:11" ht="12.75">
      <c r="H117" s="90"/>
      <c r="I117" s="90"/>
      <c r="J117" s="90"/>
      <c r="K117" s="90"/>
    </row>
    <row r="118" spans="8:11" ht="12.75">
      <c r="H118" s="90"/>
      <c r="I118" s="90"/>
      <c r="J118" s="90"/>
      <c r="K118" s="90"/>
    </row>
  </sheetData>
  <printOptions horizontalCentered="1"/>
  <pageMargins left="0.5905511811023623" right="0.1968503937007874" top="0.7874015748031497" bottom="0.7874015748031497" header="0.31496062992125984" footer="0.31496062992125984"/>
  <pageSetup horizontalDpi="300" verticalDpi="300" orientation="portrait" paperSize="9" r:id="rId1"/>
  <headerFooter alignWithMargins="0">
    <oddFooter>&amp;RCogenerazione - Pag. &amp;P</oddFooter>
  </headerFooter>
  <rowBreaks count="1" manualBreakCount="1">
    <brk id="55" max="65535" man="1"/>
  </rowBreaks>
</worksheet>
</file>

<file path=xl/worksheets/sheet13.xml><?xml version="1.0" encoding="utf-8"?>
<worksheet xmlns="http://schemas.openxmlformats.org/spreadsheetml/2006/main" xmlns:r="http://schemas.openxmlformats.org/officeDocument/2006/relationships">
  <sheetPr codeName="Foglio24"/>
  <dimension ref="A1:K69"/>
  <sheetViews>
    <sheetView showGridLines="0" showZeros="0" workbookViewId="0" topLeftCell="A1">
      <selection activeCell="A1" sqref="A1"/>
    </sheetView>
  </sheetViews>
  <sheetFormatPr defaultColWidth="9.140625" defaultRowHeight="12.75"/>
  <cols>
    <col min="1" max="1" width="1.7109375" style="74" customWidth="1"/>
    <col min="2" max="2" width="11.28125" style="74" customWidth="1"/>
    <col min="3" max="6" width="16.7109375" style="74" customWidth="1"/>
    <col min="7" max="7" width="1.7109375" style="74" customWidth="1"/>
    <col min="8" max="8" width="9.140625" style="74" customWidth="1"/>
    <col min="9" max="11" width="9.140625" style="74" hidden="1" customWidth="1"/>
    <col min="12" max="13" width="9.7109375" style="74" hidden="1" customWidth="1"/>
    <col min="14" max="14" width="10.8515625" style="74" hidden="1" customWidth="1"/>
    <col min="15" max="15" width="12.7109375" style="74" customWidth="1"/>
    <col min="16" max="16384" width="9.140625" style="74" customWidth="1"/>
  </cols>
  <sheetData>
    <row r="1" spans="1:2" ht="6" customHeight="1">
      <c r="A1" s="73"/>
      <c r="B1" s="73"/>
    </row>
    <row r="2" spans="1:7" ht="12.75">
      <c r="A2" s="75" t="s">
        <v>119</v>
      </c>
      <c r="B2" s="75"/>
      <c r="C2" s="76"/>
      <c r="D2" s="76"/>
      <c r="E2" s="76"/>
      <c r="F2" s="76"/>
      <c r="G2" s="76"/>
    </row>
    <row r="3" spans="1:7" ht="12.75">
      <c r="A3" s="75" t="s">
        <v>120</v>
      </c>
      <c r="B3" s="75"/>
      <c r="C3" s="76"/>
      <c r="D3" s="76"/>
      <c r="E3" s="76"/>
      <c r="F3" s="76"/>
      <c r="G3" s="76"/>
    </row>
    <row r="4" spans="1:7" ht="12.75">
      <c r="A4" s="75" t="s">
        <v>121</v>
      </c>
      <c r="B4" s="75"/>
      <c r="C4" s="76"/>
      <c r="D4" s="76"/>
      <c r="E4" s="76"/>
      <c r="F4" s="76"/>
      <c r="G4" s="76"/>
    </row>
    <row r="5" spans="1:7" ht="12.75">
      <c r="A5" s="75" t="s">
        <v>122</v>
      </c>
      <c r="B5" s="75"/>
      <c r="C5" s="76"/>
      <c r="D5" s="76"/>
      <c r="E5" s="76"/>
      <c r="F5" s="76"/>
      <c r="G5" s="76"/>
    </row>
    <row r="6" spans="1:2" ht="6" customHeight="1">
      <c r="A6" s="73"/>
      <c r="B6" s="73"/>
    </row>
    <row r="8" spans="1:7" ht="12.75">
      <c r="A8" s="76" t="s">
        <v>196</v>
      </c>
      <c r="B8" s="76"/>
      <c r="C8" s="76"/>
      <c r="D8" s="76"/>
      <c r="E8" s="76"/>
      <c r="F8" s="76"/>
      <c r="G8" s="76"/>
    </row>
    <row r="9" spans="8:11" ht="12.75">
      <c r="H9" s="90"/>
      <c r="I9" s="90"/>
      <c r="J9" s="90"/>
      <c r="K9" s="90"/>
    </row>
    <row r="10" spans="1:11" ht="12.75">
      <c r="A10" s="78"/>
      <c r="B10" s="79"/>
      <c r="C10" s="79"/>
      <c r="D10" s="79"/>
      <c r="E10" s="79"/>
      <c r="F10" s="79"/>
      <c r="G10" s="80"/>
      <c r="H10" s="90"/>
      <c r="I10" s="90"/>
      <c r="J10" s="90"/>
      <c r="K10" s="90"/>
    </row>
    <row r="11" spans="1:11" ht="12.75">
      <c r="A11" s="84"/>
      <c r="B11" s="77" t="str">
        <f>'VAN-PRA'!B11</f>
        <v>DURATA DELL'INVESTIMENTO :</v>
      </c>
      <c r="C11" s="77"/>
      <c r="D11" s="298">
        <f>'VAN-PRA'!D11</f>
        <v>21</v>
      </c>
      <c r="E11" s="77" t="str">
        <f>'VAN-PRA'!E11</f>
        <v>ANNI</v>
      </c>
      <c r="F11" s="77"/>
      <c r="G11" s="83"/>
      <c r="H11" s="90"/>
      <c r="I11" s="90"/>
      <c r="J11" s="90"/>
      <c r="K11" s="90"/>
    </row>
    <row r="12" spans="1:11" ht="12.75">
      <c r="A12" s="84"/>
      <c r="B12" s="77" t="str">
        <f>'VAN-PRA'!B12</f>
        <v>TASSO DI ATTUALIZZAZIONE    :</v>
      </c>
      <c r="C12" s="77"/>
      <c r="D12" s="299">
        <f>'VAN-PRA'!D12</f>
        <v>0.05</v>
      </c>
      <c r="E12" s="77"/>
      <c r="F12" s="77"/>
      <c r="G12" s="83"/>
      <c r="H12" s="90"/>
      <c r="I12" s="90"/>
      <c r="J12" s="90"/>
      <c r="K12" s="90"/>
    </row>
    <row r="13" spans="1:11" ht="12.75">
      <c r="A13" s="85"/>
      <c r="B13" s="86"/>
      <c r="C13" s="86"/>
      <c r="D13" s="86"/>
      <c r="E13" s="86"/>
      <c r="F13" s="86"/>
      <c r="G13" s="87"/>
      <c r="H13" s="90"/>
      <c r="I13" s="90"/>
      <c r="J13" s="90"/>
      <c r="K13" s="90"/>
    </row>
    <row r="14" spans="1:11" ht="12.75">
      <c r="A14" s="78"/>
      <c r="B14" s="79"/>
      <c r="C14" s="79"/>
      <c r="D14" s="79"/>
      <c r="E14" s="79"/>
      <c r="F14" s="79"/>
      <c r="G14" s="80"/>
      <c r="H14" s="90"/>
      <c r="I14" s="90"/>
      <c r="J14" s="90"/>
      <c r="K14" s="90"/>
    </row>
    <row r="15" spans="1:11" ht="12.75">
      <c r="A15" s="84"/>
      <c r="B15" s="93"/>
      <c r="C15" s="79"/>
      <c r="D15" s="78"/>
      <c r="E15" s="93"/>
      <c r="F15" s="93"/>
      <c r="G15" s="83"/>
      <c r="H15" s="90"/>
      <c r="I15" s="90"/>
      <c r="J15" s="90"/>
      <c r="K15" s="90"/>
    </row>
    <row r="16" spans="1:11" ht="12.75">
      <c r="A16" s="84"/>
      <c r="B16" s="94" t="s">
        <v>108</v>
      </c>
      <c r="C16" s="82" t="s">
        <v>109</v>
      </c>
      <c r="D16" s="81" t="s">
        <v>109</v>
      </c>
      <c r="E16" s="94" t="s">
        <v>110</v>
      </c>
      <c r="F16" s="94" t="s">
        <v>111</v>
      </c>
      <c r="G16" s="83"/>
      <c r="H16" s="90"/>
      <c r="I16" s="90"/>
      <c r="J16" s="90"/>
      <c r="K16" s="90"/>
    </row>
    <row r="17" spans="1:11" ht="12.75">
      <c r="A17" s="84"/>
      <c r="B17" s="95"/>
      <c r="C17" s="82" t="s">
        <v>112</v>
      </c>
      <c r="D17" s="81" t="s">
        <v>113</v>
      </c>
      <c r="E17" s="94" t="s">
        <v>114</v>
      </c>
      <c r="F17" s="94" t="s">
        <v>114</v>
      </c>
      <c r="G17" s="83"/>
      <c r="H17" s="90"/>
      <c r="I17" s="90"/>
      <c r="J17" s="90"/>
      <c r="K17" s="90"/>
    </row>
    <row r="18" spans="1:11" ht="12.75">
      <c r="A18" s="84"/>
      <c r="B18" s="96"/>
      <c r="C18" s="97" t="s">
        <v>197</v>
      </c>
      <c r="D18" s="294" t="s">
        <v>197</v>
      </c>
      <c r="E18" s="290" t="s">
        <v>197</v>
      </c>
      <c r="F18" s="290" t="s">
        <v>197</v>
      </c>
      <c r="G18" s="83"/>
      <c r="H18" s="90"/>
      <c r="I18" s="90"/>
      <c r="J18" s="90"/>
      <c r="K18" s="90"/>
    </row>
    <row r="19" spans="1:11" ht="12.75" hidden="1">
      <c r="A19" s="84"/>
      <c r="B19" s="93"/>
      <c r="C19" s="79"/>
      <c r="D19" s="79"/>
      <c r="E19" s="93"/>
      <c r="F19" s="79"/>
      <c r="G19" s="83"/>
      <c r="H19" s="90"/>
      <c r="I19" s="90"/>
      <c r="J19" s="90"/>
      <c r="K19" s="90"/>
    </row>
    <row r="20" spans="1:11" ht="12.75">
      <c r="A20" s="84"/>
      <c r="B20" s="300">
        <f>'VAN-PRA'!B20</f>
        <v>1</v>
      </c>
      <c r="C20" s="301">
        <f>'VAN-PRA'!C20</f>
        <v>-1700000</v>
      </c>
      <c r="D20" s="292">
        <f>'VAN-PRA'!D20</f>
        <v>-1700000</v>
      </c>
      <c r="E20" s="296">
        <f aca="true" t="shared" si="0" ref="E20:E49">C20/((1+$D$52)^($B20-1))</f>
        <v>-1700000</v>
      </c>
      <c r="F20" s="293">
        <f aca="true" t="shared" si="1" ref="F20:F49">IF(B20&gt;0,F19+E20,0)</f>
        <v>-1700000</v>
      </c>
      <c r="G20" s="83"/>
      <c r="H20" s="90"/>
      <c r="I20" s="90"/>
      <c r="J20" s="90"/>
      <c r="K20" s="90"/>
    </row>
    <row r="21" spans="1:11" ht="12.75">
      <c r="A21" s="84"/>
      <c r="B21" s="300">
        <f>'VAN-PRA'!B21</f>
        <v>2</v>
      </c>
      <c r="C21" s="301">
        <f>'VAN-PRA'!C21</f>
        <v>235300.0000000001</v>
      </c>
      <c r="D21" s="292">
        <f>'VAN-PRA'!D21</f>
        <v>-1464700</v>
      </c>
      <c r="E21" s="296">
        <f t="shared" si="0"/>
        <v>209086.28072425805</v>
      </c>
      <c r="F21" s="293">
        <f t="shared" si="1"/>
        <v>-1490913.7192757418</v>
      </c>
      <c r="G21" s="83"/>
      <c r="H21" s="90"/>
      <c r="I21" s="90"/>
      <c r="J21" s="90"/>
      <c r="K21" s="90"/>
    </row>
    <row r="22" spans="1:11" ht="12.75">
      <c r="A22" s="84"/>
      <c r="B22" s="300">
        <f>'VAN-PRA'!B22</f>
        <v>3</v>
      </c>
      <c r="C22" s="301">
        <f>'VAN-PRA'!C22</f>
        <v>235300.0000000001</v>
      </c>
      <c r="D22" s="292">
        <f>'VAN-PRA'!D22</f>
        <v>-1229400</v>
      </c>
      <c r="E22" s="296">
        <f t="shared" si="0"/>
        <v>185792.91452232565</v>
      </c>
      <c r="F22" s="293">
        <f t="shared" si="1"/>
        <v>-1305120.8047534162</v>
      </c>
      <c r="G22" s="83"/>
      <c r="H22" s="90"/>
      <c r="I22" s="90"/>
      <c r="J22" s="90"/>
      <c r="K22" s="90"/>
    </row>
    <row r="23" spans="1:11" ht="12.75">
      <c r="A23" s="84"/>
      <c r="B23" s="300">
        <f>'VAN-PRA'!B23</f>
        <v>4</v>
      </c>
      <c r="C23" s="301">
        <f>'VAN-PRA'!C23</f>
        <v>235300.0000000001</v>
      </c>
      <c r="D23" s="292">
        <f>'VAN-PRA'!D23</f>
        <v>-994099.9999999999</v>
      </c>
      <c r="E23" s="296">
        <f t="shared" si="0"/>
        <v>165094.55793622206</v>
      </c>
      <c r="F23" s="293">
        <f t="shared" si="1"/>
        <v>-1140026.2468171942</v>
      </c>
      <c r="G23" s="83"/>
      <c r="H23" s="90"/>
      <c r="I23" s="90"/>
      <c r="J23" s="90"/>
      <c r="K23" s="90"/>
    </row>
    <row r="24" spans="1:11" ht="12.75">
      <c r="A24" s="84"/>
      <c r="B24" s="300">
        <f>'VAN-PRA'!B24</f>
        <v>5</v>
      </c>
      <c r="C24" s="301">
        <f>'VAN-PRA'!C24</f>
        <v>235300.0000000001</v>
      </c>
      <c r="D24" s="292">
        <f>'VAN-PRA'!D24</f>
        <v>-758799.9999999998</v>
      </c>
      <c r="E24" s="296">
        <f t="shared" si="0"/>
        <v>146702.1125656617</v>
      </c>
      <c r="F24" s="293">
        <f t="shared" si="1"/>
        <v>-993324.1342515325</v>
      </c>
      <c r="G24" s="83"/>
      <c r="H24" s="90"/>
      <c r="I24" s="90"/>
      <c r="J24" s="90"/>
      <c r="K24" s="90"/>
    </row>
    <row r="25" spans="1:11" ht="12.75">
      <c r="A25" s="84"/>
      <c r="B25" s="300">
        <f>'VAN-PRA'!B25</f>
        <v>6</v>
      </c>
      <c r="C25" s="301">
        <f>'VAN-PRA'!C25</f>
        <v>235300.0000000001</v>
      </c>
      <c r="D25" s="292">
        <f>'VAN-PRA'!D25</f>
        <v>-523499.99999999965</v>
      </c>
      <c r="E25" s="296">
        <f t="shared" si="0"/>
        <v>130358.68716848972</v>
      </c>
      <c r="F25" s="293">
        <f t="shared" si="1"/>
        <v>-862965.4470830428</v>
      </c>
      <c r="G25" s="83"/>
      <c r="H25" s="90"/>
      <c r="I25" s="90"/>
      <c r="J25" s="90"/>
      <c r="K25" s="90"/>
    </row>
    <row r="26" spans="1:11" ht="12.75">
      <c r="A26" s="84"/>
      <c r="B26" s="300">
        <f>'VAN-PRA'!B26</f>
        <v>7</v>
      </c>
      <c r="C26" s="301">
        <f>'VAN-PRA'!C26</f>
        <v>235300.0000000001</v>
      </c>
      <c r="D26" s="292">
        <f>'VAN-PRA'!D26</f>
        <v>-288199.99999999953</v>
      </c>
      <c r="E26" s="296">
        <f t="shared" si="0"/>
        <v>115836.0096054253</v>
      </c>
      <c r="F26" s="293">
        <f t="shared" si="1"/>
        <v>-747129.4374776175</v>
      </c>
      <c r="G26" s="83"/>
      <c r="H26" s="90"/>
      <c r="I26" s="90"/>
      <c r="J26" s="90"/>
      <c r="K26" s="90"/>
    </row>
    <row r="27" spans="1:11" ht="12.75">
      <c r="A27" s="84"/>
      <c r="B27" s="300">
        <f>'VAN-PRA'!B27</f>
        <v>8</v>
      </c>
      <c r="C27" s="301">
        <f>'VAN-PRA'!C27</f>
        <v>235300.0000000001</v>
      </c>
      <c r="D27" s="292">
        <f>'VAN-PRA'!D27</f>
        <v>-52899.99999999945</v>
      </c>
      <c r="E27" s="296">
        <f t="shared" si="0"/>
        <v>102931.23851397277</v>
      </c>
      <c r="F27" s="293">
        <f t="shared" si="1"/>
        <v>-644198.1989636448</v>
      </c>
      <c r="G27" s="83"/>
      <c r="H27" s="90"/>
      <c r="I27" s="90"/>
      <c r="J27" s="90"/>
      <c r="K27" s="90"/>
    </row>
    <row r="28" spans="1:11" ht="12.75">
      <c r="A28" s="84"/>
      <c r="B28" s="300">
        <f>'VAN-PRA'!B28</f>
        <v>9</v>
      </c>
      <c r="C28" s="301">
        <f>'VAN-PRA'!C28</f>
        <v>235300.0000000001</v>
      </c>
      <c r="D28" s="292">
        <f>'VAN-PRA'!D28</f>
        <v>182400.00000000064</v>
      </c>
      <c r="E28" s="296">
        <f t="shared" si="0"/>
        <v>91464.13017946479</v>
      </c>
      <c r="F28" s="293">
        <f t="shared" si="1"/>
        <v>-552734.06878418</v>
      </c>
      <c r="G28" s="83"/>
      <c r="H28" s="90"/>
      <c r="I28" s="90"/>
      <c r="J28" s="90"/>
      <c r="K28" s="90"/>
    </row>
    <row r="29" spans="1:11" ht="12.75">
      <c r="A29" s="84"/>
      <c r="B29" s="300">
        <f>'VAN-PRA'!B29</f>
        <v>10</v>
      </c>
      <c r="C29" s="301">
        <f>'VAN-PRA'!C29</f>
        <v>235300.0000000001</v>
      </c>
      <c r="D29" s="292">
        <f>'VAN-PRA'!D29</f>
        <v>417700.0000000007</v>
      </c>
      <c r="E29" s="296">
        <f t="shared" si="0"/>
        <v>81274.5210323147</v>
      </c>
      <c r="F29" s="293">
        <f t="shared" si="1"/>
        <v>-471459.5477518653</v>
      </c>
      <c r="G29" s="83"/>
      <c r="H29" s="90"/>
      <c r="I29" s="90"/>
      <c r="J29" s="90"/>
      <c r="K29" s="90"/>
    </row>
    <row r="30" spans="1:11" ht="12.75">
      <c r="A30" s="84"/>
      <c r="B30" s="300">
        <f>'VAN-PRA'!B30</f>
        <v>11</v>
      </c>
      <c r="C30" s="301">
        <f>'VAN-PRA'!C30</f>
        <v>235300.0000000001</v>
      </c>
      <c r="D30" s="292">
        <f>'VAN-PRA'!D30</f>
        <v>653000.0000000008</v>
      </c>
      <c r="E30" s="296">
        <f t="shared" si="0"/>
        <v>72220.09060897646</v>
      </c>
      <c r="F30" s="293">
        <f t="shared" si="1"/>
        <v>-399239.4571428888</v>
      </c>
      <c r="G30" s="83"/>
      <c r="H30" s="90"/>
      <c r="I30" s="90"/>
      <c r="J30" s="90"/>
      <c r="K30" s="90"/>
    </row>
    <row r="31" spans="1:11" ht="12.75">
      <c r="A31" s="84"/>
      <c r="B31" s="300">
        <f>'VAN-PRA'!B31</f>
        <v>12</v>
      </c>
      <c r="C31" s="301">
        <f>'VAN-PRA'!C31</f>
        <v>235300.0000000001</v>
      </c>
      <c r="D31" s="292">
        <f>'VAN-PRA'!D31</f>
        <v>888300.0000000009</v>
      </c>
      <c r="E31" s="296">
        <f t="shared" si="0"/>
        <v>64174.37373140587</v>
      </c>
      <c r="F31" s="293">
        <f t="shared" si="1"/>
        <v>-335065.0834114829</v>
      </c>
      <c r="G31" s="83"/>
      <c r="H31" s="90"/>
      <c r="I31" s="90"/>
      <c r="J31" s="90"/>
      <c r="K31" s="90"/>
    </row>
    <row r="32" spans="1:11" ht="12.75">
      <c r="A32" s="84"/>
      <c r="B32" s="300">
        <f>'VAN-PRA'!B32</f>
        <v>13</v>
      </c>
      <c r="C32" s="301">
        <f>'VAN-PRA'!C32</f>
        <v>235300.0000000001</v>
      </c>
      <c r="D32" s="292">
        <f>'VAN-PRA'!D32</f>
        <v>1123600.000000001</v>
      </c>
      <c r="E32" s="296">
        <f t="shared" si="0"/>
        <v>57024.994140706214</v>
      </c>
      <c r="F32" s="293">
        <f t="shared" si="1"/>
        <v>-278040.0892707767</v>
      </c>
      <c r="G32" s="83"/>
      <c r="H32" s="90"/>
      <c r="I32" s="90"/>
      <c r="J32" s="90"/>
      <c r="K32" s="90"/>
    </row>
    <row r="33" spans="1:11" ht="12.75">
      <c r="A33" s="84"/>
      <c r="B33" s="300">
        <f>'VAN-PRA'!B33</f>
        <v>14</v>
      </c>
      <c r="C33" s="301">
        <f>'VAN-PRA'!C33</f>
        <v>235300.0000000001</v>
      </c>
      <c r="D33" s="292">
        <f>'VAN-PRA'!D33</f>
        <v>1358900.000000001</v>
      </c>
      <c r="E33" s="296">
        <f t="shared" si="0"/>
        <v>50672.09491373933</v>
      </c>
      <c r="F33" s="293">
        <f t="shared" si="1"/>
        <v>-227367.9943570374</v>
      </c>
      <c r="G33" s="83"/>
      <c r="H33" s="90"/>
      <c r="I33" s="90"/>
      <c r="J33" s="90"/>
      <c r="K33" s="90"/>
    </row>
    <row r="34" spans="1:11" ht="12.75">
      <c r="A34" s="84"/>
      <c r="B34" s="300">
        <f>'VAN-PRA'!B34</f>
        <v>15</v>
      </c>
      <c r="C34" s="301">
        <f>'VAN-PRA'!C34</f>
        <v>235300.0000000001</v>
      </c>
      <c r="D34" s="292">
        <f>'VAN-PRA'!D34</f>
        <v>1594200.000000001</v>
      </c>
      <c r="E34" s="296">
        <f t="shared" si="0"/>
        <v>45026.94373999298</v>
      </c>
      <c r="F34" s="293">
        <f t="shared" si="1"/>
        <v>-182341.0506170444</v>
      </c>
      <c r="G34" s="83"/>
      <c r="H34" s="90"/>
      <c r="I34" s="90"/>
      <c r="J34" s="90"/>
      <c r="K34" s="90"/>
    </row>
    <row r="35" spans="1:11" ht="12.75">
      <c r="A35" s="84"/>
      <c r="B35" s="300">
        <f>'VAN-PRA'!B35</f>
        <v>16</v>
      </c>
      <c r="C35" s="301">
        <f>'VAN-PRA'!C35</f>
        <v>235300.0000000001</v>
      </c>
      <c r="D35" s="292">
        <f>'VAN-PRA'!D35</f>
        <v>1829500.000000001</v>
      </c>
      <c r="E35" s="296">
        <f t="shared" si="0"/>
        <v>40010.6935783066</v>
      </c>
      <c r="F35" s="293">
        <f t="shared" si="1"/>
        <v>-142330.3570387378</v>
      </c>
      <c r="G35" s="83"/>
      <c r="H35" s="90"/>
      <c r="I35" s="90"/>
      <c r="J35" s="90"/>
      <c r="K35" s="90"/>
    </row>
    <row r="36" spans="1:11" ht="12.75">
      <c r="A36" s="84"/>
      <c r="B36" s="300">
        <f>'VAN-PRA'!B36</f>
        <v>17</v>
      </c>
      <c r="C36" s="301">
        <f>'VAN-PRA'!C36</f>
        <v>235300.0000000001</v>
      </c>
      <c r="D36" s="292">
        <f>'VAN-PRA'!D36</f>
        <v>2064800.000000001</v>
      </c>
      <c r="E36" s="296">
        <f t="shared" si="0"/>
        <v>35553.28138328125</v>
      </c>
      <c r="F36" s="293">
        <f t="shared" si="1"/>
        <v>-106777.07565545655</v>
      </c>
      <c r="G36" s="83"/>
      <c r="H36" s="90"/>
      <c r="I36" s="90"/>
      <c r="J36" s="90"/>
      <c r="K36" s="90"/>
    </row>
    <row r="37" spans="1:11" ht="12.75">
      <c r="A37" s="84"/>
      <c r="B37" s="300">
        <f>'VAN-PRA'!B37</f>
        <v>18</v>
      </c>
      <c r="C37" s="301">
        <f>'VAN-PRA'!C37</f>
        <v>235300.0000000001</v>
      </c>
      <c r="D37" s="292">
        <f>'VAN-PRA'!D37</f>
        <v>2300100.000000001</v>
      </c>
      <c r="E37" s="296">
        <f t="shared" si="0"/>
        <v>31592.449519648446</v>
      </c>
      <c r="F37" s="293">
        <f t="shared" si="1"/>
        <v>-75184.6261358081</v>
      </c>
      <c r="G37" s="83"/>
      <c r="H37" s="90"/>
      <c r="I37" s="90"/>
      <c r="J37" s="90"/>
      <c r="K37" s="90"/>
    </row>
    <row r="38" spans="1:11" ht="12.75">
      <c r="A38" s="84"/>
      <c r="B38" s="300">
        <f>'VAN-PRA'!B38</f>
        <v>19</v>
      </c>
      <c r="C38" s="301">
        <f>'VAN-PRA'!C38</f>
        <v>235300.0000000001</v>
      </c>
      <c r="D38" s="292">
        <f>'VAN-PRA'!D38</f>
        <v>2535400.000000001</v>
      </c>
      <c r="E38" s="296">
        <f t="shared" si="0"/>
        <v>28072.876196481782</v>
      </c>
      <c r="F38" s="293">
        <f t="shared" si="1"/>
        <v>-47111.74993932631</v>
      </c>
      <c r="G38" s="83"/>
      <c r="H38" s="90"/>
      <c r="I38" s="90"/>
      <c r="J38" s="90"/>
      <c r="K38" s="90"/>
    </row>
    <row r="39" spans="1:11" ht="12.75">
      <c r="A39" s="84"/>
      <c r="B39" s="300">
        <f>'VAN-PRA'!B39</f>
        <v>20</v>
      </c>
      <c r="C39" s="301">
        <f>'VAN-PRA'!C39</f>
        <v>235300.0000000001</v>
      </c>
      <c r="D39" s="292">
        <f>'VAN-PRA'!D39</f>
        <v>2770700.000000001</v>
      </c>
      <c r="E39" s="296">
        <f t="shared" si="0"/>
        <v>24945.40277583906</v>
      </c>
      <c r="F39" s="293">
        <f t="shared" si="1"/>
        <v>-22166.347163487255</v>
      </c>
      <c r="G39" s="83"/>
      <c r="H39" s="90"/>
      <c r="I39" s="90"/>
      <c r="J39" s="90"/>
      <c r="K39" s="90"/>
    </row>
    <row r="40" spans="1:11" ht="12.75">
      <c r="A40" s="84"/>
      <c r="B40" s="300">
        <f>'VAN-PRA'!B40</f>
        <v>21</v>
      </c>
      <c r="C40" s="301">
        <f>'VAN-PRA'!C40</f>
        <v>235300.0000000001</v>
      </c>
      <c r="D40" s="292">
        <f>'VAN-PRA'!D40</f>
        <v>3006000.000000001</v>
      </c>
      <c r="E40" s="296">
        <f t="shared" si="0"/>
        <v>22166.34716348818</v>
      </c>
      <c r="F40" s="293">
        <f t="shared" si="1"/>
        <v>9.240466170012951E-10</v>
      </c>
      <c r="G40" s="83"/>
      <c r="H40" s="90"/>
      <c r="I40" s="90"/>
      <c r="J40" s="90"/>
      <c r="K40" s="90"/>
    </row>
    <row r="41" spans="1:11" ht="12.75">
      <c r="A41" s="84"/>
      <c r="B41" s="300">
        <f>'VAN-PRA'!B41</f>
        <v>0</v>
      </c>
      <c r="C41" s="301">
        <f>'VAN-PRA'!C41</f>
        <v>0</v>
      </c>
      <c r="D41" s="292">
        <f>'VAN-PRA'!D41</f>
        <v>0</v>
      </c>
      <c r="E41" s="296">
        <f t="shared" si="0"/>
        <v>0</v>
      </c>
      <c r="F41" s="293">
        <f t="shared" si="1"/>
        <v>0</v>
      </c>
      <c r="G41" s="83"/>
      <c r="H41" s="90"/>
      <c r="I41" s="90"/>
      <c r="J41" s="90"/>
      <c r="K41" s="90"/>
    </row>
    <row r="42" spans="1:11" ht="12.75">
      <c r="A42" s="84"/>
      <c r="B42" s="300">
        <f>'VAN-PRA'!B42</f>
        <v>0</v>
      </c>
      <c r="C42" s="301">
        <f>'VAN-PRA'!C42</f>
        <v>0</v>
      </c>
      <c r="D42" s="292">
        <f>'VAN-PRA'!D42</f>
        <v>0</v>
      </c>
      <c r="E42" s="296">
        <f t="shared" si="0"/>
        <v>0</v>
      </c>
      <c r="F42" s="293">
        <f t="shared" si="1"/>
        <v>0</v>
      </c>
      <c r="G42" s="83"/>
      <c r="H42" s="90"/>
      <c r="I42" s="90"/>
      <c r="J42" s="90"/>
      <c r="K42" s="90"/>
    </row>
    <row r="43" spans="1:11" ht="12.75">
      <c r="A43" s="84"/>
      <c r="B43" s="300">
        <f>'VAN-PRA'!B43</f>
        <v>0</v>
      </c>
      <c r="C43" s="301">
        <f>'VAN-PRA'!C43</f>
        <v>0</v>
      </c>
      <c r="D43" s="292">
        <f>'VAN-PRA'!D43</f>
        <v>0</v>
      </c>
      <c r="E43" s="296">
        <f t="shared" si="0"/>
        <v>0</v>
      </c>
      <c r="F43" s="293">
        <f t="shared" si="1"/>
        <v>0</v>
      </c>
      <c r="G43" s="83"/>
      <c r="H43" s="90"/>
      <c r="I43" s="90"/>
      <c r="J43" s="90"/>
      <c r="K43" s="90"/>
    </row>
    <row r="44" spans="1:11" ht="12.75">
      <c r="A44" s="84"/>
      <c r="B44" s="300">
        <f>'VAN-PRA'!B44</f>
        <v>0</v>
      </c>
      <c r="C44" s="301">
        <f>'VAN-PRA'!C44</f>
        <v>0</v>
      </c>
      <c r="D44" s="292">
        <f>'VAN-PRA'!D44</f>
        <v>0</v>
      </c>
      <c r="E44" s="296">
        <f t="shared" si="0"/>
        <v>0</v>
      </c>
      <c r="F44" s="293">
        <f t="shared" si="1"/>
        <v>0</v>
      </c>
      <c r="G44" s="83"/>
      <c r="H44" s="90"/>
      <c r="I44" s="90"/>
      <c r="J44" s="90"/>
      <c r="K44" s="90"/>
    </row>
    <row r="45" spans="1:11" ht="12.75">
      <c r="A45" s="84"/>
      <c r="B45" s="300">
        <f>'VAN-PRA'!B45</f>
        <v>0</v>
      </c>
      <c r="C45" s="301">
        <f>'VAN-PRA'!C45</f>
        <v>0</v>
      </c>
      <c r="D45" s="292">
        <f>'VAN-PRA'!D45</f>
        <v>0</v>
      </c>
      <c r="E45" s="296">
        <f t="shared" si="0"/>
        <v>0</v>
      </c>
      <c r="F45" s="293">
        <f t="shared" si="1"/>
        <v>0</v>
      </c>
      <c r="G45" s="83"/>
      <c r="H45" s="90"/>
      <c r="I45" s="90"/>
      <c r="J45" s="90"/>
      <c r="K45" s="90"/>
    </row>
    <row r="46" spans="1:11" ht="12.75">
      <c r="A46" s="84"/>
      <c r="B46" s="300">
        <f>'VAN-PRA'!B46</f>
        <v>0</v>
      </c>
      <c r="C46" s="301">
        <f>'VAN-PRA'!C46</f>
        <v>0</v>
      </c>
      <c r="D46" s="292">
        <f>'VAN-PRA'!D46</f>
        <v>0</v>
      </c>
      <c r="E46" s="296">
        <f t="shared" si="0"/>
        <v>0</v>
      </c>
      <c r="F46" s="293">
        <f t="shared" si="1"/>
        <v>0</v>
      </c>
      <c r="G46" s="83"/>
      <c r="H46" s="90"/>
      <c r="I46" s="90"/>
      <c r="J46" s="90"/>
      <c r="K46" s="90"/>
    </row>
    <row r="47" spans="1:11" ht="12.75">
      <c r="A47" s="84"/>
      <c r="B47" s="300">
        <f>'VAN-PRA'!B47</f>
        <v>0</v>
      </c>
      <c r="C47" s="301">
        <f>'VAN-PRA'!C47</f>
        <v>0</v>
      </c>
      <c r="D47" s="292">
        <f>'VAN-PRA'!D47</f>
        <v>0</v>
      </c>
      <c r="E47" s="296">
        <f t="shared" si="0"/>
        <v>0</v>
      </c>
      <c r="F47" s="293">
        <f t="shared" si="1"/>
        <v>0</v>
      </c>
      <c r="G47" s="83"/>
      <c r="H47" s="90"/>
      <c r="I47" s="90"/>
      <c r="J47" s="90"/>
      <c r="K47" s="90"/>
    </row>
    <row r="48" spans="1:11" ht="12.75">
      <c r="A48" s="84"/>
      <c r="B48" s="300">
        <f>'VAN-PRA'!B48</f>
        <v>0</v>
      </c>
      <c r="C48" s="301">
        <f>'VAN-PRA'!C48</f>
        <v>0</v>
      </c>
      <c r="D48" s="292">
        <f>'VAN-PRA'!D48</f>
        <v>0</v>
      </c>
      <c r="E48" s="296">
        <f t="shared" si="0"/>
        <v>0</v>
      </c>
      <c r="F48" s="293">
        <f t="shared" si="1"/>
        <v>0</v>
      </c>
      <c r="G48" s="83"/>
      <c r="H48" s="90"/>
      <c r="I48" s="90"/>
      <c r="J48" s="90"/>
      <c r="K48" s="90"/>
    </row>
    <row r="49" spans="1:11" ht="12.75">
      <c r="A49" s="84"/>
      <c r="B49" s="300">
        <f>'VAN-PRA'!B49</f>
        <v>0</v>
      </c>
      <c r="C49" s="301">
        <f>'VAN-PRA'!C49</f>
        <v>0</v>
      </c>
      <c r="D49" s="292">
        <f>'VAN-PRA'!D49</f>
        <v>0</v>
      </c>
      <c r="E49" s="296">
        <f t="shared" si="0"/>
        <v>0</v>
      </c>
      <c r="F49" s="293">
        <f t="shared" si="1"/>
        <v>0</v>
      </c>
      <c r="G49" s="83"/>
      <c r="H49" s="90"/>
      <c r="I49" s="90"/>
      <c r="J49" s="90"/>
      <c r="K49" s="90"/>
    </row>
    <row r="50" spans="1:11" ht="12.75">
      <c r="A50" s="85"/>
      <c r="B50" s="86"/>
      <c r="C50" s="86"/>
      <c r="D50" s="86"/>
      <c r="E50" s="86"/>
      <c r="F50" s="86"/>
      <c r="G50" s="87"/>
      <c r="H50" s="90"/>
      <c r="I50" s="90"/>
      <c r="J50" s="90"/>
      <c r="K50" s="90"/>
    </row>
    <row r="51" spans="1:11" ht="12.75">
      <c r="A51" s="78"/>
      <c r="B51" s="79"/>
      <c r="C51" s="79"/>
      <c r="D51" s="79"/>
      <c r="E51" s="79"/>
      <c r="F51" s="79"/>
      <c r="G51" s="80"/>
      <c r="H51" s="90"/>
      <c r="I51" s="90"/>
      <c r="J51" s="90"/>
      <c r="K51" s="90"/>
    </row>
    <row r="52" spans="1:11" ht="12.75">
      <c r="A52" s="84"/>
      <c r="B52" s="77" t="s">
        <v>118</v>
      </c>
      <c r="C52" s="77"/>
      <c r="D52" s="297">
        <f>IRR($C$20:$C$49)</f>
        <v>0.12537273696265402</v>
      </c>
      <c r="E52" s="77"/>
      <c r="F52" s="77"/>
      <c r="G52" s="83"/>
      <c r="H52" s="90"/>
      <c r="I52" s="90"/>
      <c r="J52" s="90"/>
      <c r="K52" s="90"/>
    </row>
    <row r="53" spans="1:11" ht="12.75">
      <c r="A53" s="85"/>
      <c r="B53" s="86"/>
      <c r="C53" s="86"/>
      <c r="D53" s="86"/>
      <c r="E53" s="86"/>
      <c r="F53" s="86"/>
      <c r="G53" s="87"/>
      <c r="H53" s="90"/>
      <c r="I53" s="90"/>
      <c r="J53" s="90"/>
      <c r="K53" s="90"/>
    </row>
    <row r="54" spans="8:11" ht="12.75">
      <c r="H54" s="90"/>
      <c r="I54" s="90"/>
      <c r="J54" s="90"/>
      <c r="K54" s="90"/>
    </row>
    <row r="55" spans="8:11" ht="12.75">
      <c r="H55" s="90"/>
      <c r="I55" s="90"/>
      <c r="J55" s="90"/>
      <c r="K55" s="90"/>
    </row>
    <row r="56" spans="8:11" ht="12.75">
      <c r="H56" s="90"/>
      <c r="I56" s="90"/>
      <c r="J56" s="90"/>
      <c r="K56" s="90"/>
    </row>
    <row r="57" spans="8:11" ht="12.75">
      <c r="H57" s="90"/>
      <c r="I57" s="90"/>
      <c r="J57" s="90"/>
      <c r="K57" s="90"/>
    </row>
    <row r="58" spans="8:11" ht="12.75">
      <c r="H58" s="90"/>
      <c r="I58" s="90"/>
      <c r="J58" s="90"/>
      <c r="K58" s="90"/>
    </row>
    <row r="59" spans="8:11" ht="12.75">
      <c r="H59" s="90"/>
      <c r="I59" s="90"/>
      <c r="J59" s="90"/>
      <c r="K59" s="90"/>
    </row>
    <row r="60" spans="8:11" ht="12.75">
      <c r="H60" s="90"/>
      <c r="I60" s="90"/>
      <c r="J60" s="90"/>
      <c r="K60" s="90"/>
    </row>
    <row r="61" spans="8:11" ht="12.75">
      <c r="H61" s="90"/>
      <c r="I61" s="90"/>
      <c r="J61" s="90"/>
      <c r="K61" s="90"/>
    </row>
    <row r="62" spans="8:11" ht="12.75">
      <c r="H62" s="90"/>
      <c r="I62" s="90"/>
      <c r="J62" s="90"/>
      <c r="K62" s="90"/>
    </row>
    <row r="63" spans="8:11" ht="12.75">
      <c r="H63" s="90"/>
      <c r="I63" s="90"/>
      <c r="J63" s="90"/>
      <c r="K63" s="90"/>
    </row>
    <row r="64" spans="8:11" ht="12.75">
      <c r="H64" s="90"/>
      <c r="I64" s="90"/>
      <c r="J64" s="90"/>
      <c r="K64" s="90"/>
    </row>
    <row r="65" spans="8:11" ht="12.75">
      <c r="H65" s="90"/>
      <c r="I65" s="90"/>
      <c r="J65" s="90"/>
      <c r="K65" s="90"/>
    </row>
    <row r="66" spans="8:11" ht="12.75">
      <c r="H66" s="90"/>
      <c r="I66" s="90"/>
      <c r="J66" s="90"/>
      <c r="K66" s="90"/>
    </row>
    <row r="67" spans="8:11" ht="12.75">
      <c r="H67" s="90"/>
      <c r="I67" s="90"/>
      <c r="J67" s="90"/>
      <c r="K67" s="90"/>
    </row>
    <row r="68" spans="8:11" ht="12.75">
      <c r="H68" s="90"/>
      <c r="I68" s="90"/>
      <c r="J68" s="90"/>
      <c r="K68" s="90"/>
    </row>
    <row r="69" spans="8:11" ht="12.75">
      <c r="H69" s="90"/>
      <c r="I69" s="90"/>
      <c r="J69" s="90"/>
      <c r="K69" s="90"/>
    </row>
  </sheetData>
  <printOptions horizontalCentered="1"/>
  <pageMargins left="0.5905511811023623" right="0.1968503937007874" top="0.7874015748031497" bottom="0.7874015748031497" header="0.31496062992125984" footer="0.31496062992125984"/>
  <pageSetup horizontalDpi="300" verticalDpi="300" orientation="portrait" paperSize="9" r:id="rId1"/>
  <headerFooter alignWithMargins="0">
    <oddFooter>&amp;RCogenerazione - Pag. &amp;P</oddFooter>
  </headerFooter>
</worksheet>
</file>

<file path=xl/worksheets/sheet14.xml><?xml version="1.0" encoding="utf-8"?>
<worksheet xmlns="http://schemas.openxmlformats.org/spreadsheetml/2006/main" xmlns:r="http://schemas.openxmlformats.org/officeDocument/2006/relationships">
  <dimension ref="A1:H33"/>
  <sheetViews>
    <sheetView showGridLines="0" zoomScale="75" zoomScaleNormal="75" workbookViewId="0" topLeftCell="A1">
      <selection activeCell="G6" sqref="G6"/>
    </sheetView>
  </sheetViews>
  <sheetFormatPr defaultColWidth="9.140625" defaultRowHeight="12.75"/>
  <cols>
    <col min="1" max="1" width="3.7109375" style="66" customWidth="1"/>
    <col min="2" max="2" width="39.00390625" style="66" customWidth="1"/>
    <col min="3" max="3" width="13.8515625" style="66" customWidth="1"/>
    <col min="4" max="6" width="12.7109375" style="66" customWidth="1"/>
    <col min="7" max="7" width="9.140625" style="66" customWidth="1"/>
    <col min="8" max="8" width="14.28125" style="66" customWidth="1"/>
    <col min="9" max="16384" width="9.140625" style="66" customWidth="1"/>
  </cols>
  <sheetData>
    <row r="1" spans="1:6" ht="15.75">
      <c r="A1" s="276" t="str">
        <f>Curdura!B1</f>
        <v>ANALISI ECONOMICA DI UN SISTEMA DI COGENERAZIONE</v>
      </c>
      <c r="B1" s="276"/>
      <c r="C1" s="276"/>
      <c r="D1" s="276"/>
      <c r="E1" s="276"/>
      <c r="F1" s="276"/>
    </row>
    <row r="2" spans="1:6" ht="15.75">
      <c r="A2" s="411" t="s">
        <v>100</v>
      </c>
      <c r="B2" s="411"/>
      <c r="C2" s="411"/>
      <c r="D2" s="411"/>
      <c r="E2" s="411"/>
      <c r="F2" s="411"/>
    </row>
    <row r="3" spans="1:6" ht="15.75">
      <c r="A3" s="124"/>
      <c r="B3" s="124"/>
      <c r="C3" s="124"/>
      <c r="D3" s="124"/>
      <c r="E3" s="124"/>
      <c r="F3" s="124"/>
    </row>
    <row r="4" spans="1:8" ht="15" hidden="1">
      <c r="A4" s="165"/>
      <c r="B4" s="163"/>
      <c r="C4" s="164"/>
      <c r="D4" s="166" t="s">
        <v>74</v>
      </c>
      <c r="E4" s="166" t="s">
        <v>75</v>
      </c>
      <c r="F4" s="166" t="s">
        <v>76</v>
      </c>
      <c r="H4" s="253" t="s">
        <v>230</v>
      </c>
    </row>
    <row r="5" spans="1:8" ht="21" customHeight="1">
      <c r="A5" s="258" t="s">
        <v>99</v>
      </c>
      <c r="B5" s="259"/>
      <c r="C5" s="260"/>
      <c r="D5" s="261">
        <v>1</v>
      </c>
      <c r="E5" s="261">
        <v>2</v>
      </c>
      <c r="F5" s="261">
        <v>3</v>
      </c>
      <c r="H5" s="254">
        <f>Pot!$Y$2</f>
        <v>3</v>
      </c>
    </row>
    <row r="6" spans="1:8" ht="21" customHeight="1">
      <c r="A6" s="71" t="s">
        <v>84</v>
      </c>
      <c r="B6" s="67"/>
      <c r="C6" s="67"/>
      <c r="D6" s="67"/>
      <c r="E6" s="67"/>
      <c r="F6" s="68"/>
      <c r="H6" s="251"/>
    </row>
    <row r="7" spans="1:8" ht="21" customHeight="1">
      <c r="A7" s="69" t="s">
        <v>66</v>
      </c>
      <c r="B7" s="68" t="s">
        <v>77</v>
      </c>
      <c r="C7" s="70" t="s">
        <v>97</v>
      </c>
      <c r="D7" s="262">
        <v>5028</v>
      </c>
      <c r="E7" s="262">
        <v>5028</v>
      </c>
      <c r="F7" s="263">
        <v>5028</v>
      </c>
      <c r="H7" s="167">
        <f>Ene!$D$19</f>
        <v>5028</v>
      </c>
    </row>
    <row r="8" spans="1:8" ht="21" customHeight="1">
      <c r="A8" s="69" t="s">
        <v>66</v>
      </c>
      <c r="B8" s="68" t="s">
        <v>85</v>
      </c>
      <c r="C8" s="70" t="s">
        <v>97</v>
      </c>
      <c r="D8" s="262">
        <v>5451</v>
      </c>
      <c r="E8" s="262">
        <v>5451</v>
      </c>
      <c r="F8" s="263">
        <v>5451</v>
      </c>
      <c r="H8" s="167">
        <f>Ene!$E$19</f>
        <v>5451</v>
      </c>
    </row>
    <row r="9" spans="1:8" ht="21" customHeight="1">
      <c r="A9" s="71" t="s">
        <v>86</v>
      </c>
      <c r="B9" s="67"/>
      <c r="C9" s="67"/>
      <c r="D9" s="264"/>
      <c r="E9" s="264"/>
      <c r="F9" s="265"/>
      <c r="H9" s="251"/>
    </row>
    <row r="10" spans="1:8" ht="21" customHeight="1">
      <c r="A10" s="69" t="s">
        <v>66</v>
      </c>
      <c r="B10" s="68" t="s">
        <v>87</v>
      </c>
      <c r="C10" s="70" t="s">
        <v>97</v>
      </c>
      <c r="D10" s="262">
        <v>4928</v>
      </c>
      <c r="E10" s="262">
        <v>4828.181818181818</v>
      </c>
      <c r="F10" s="263">
        <v>5035.454545454545</v>
      </c>
      <c r="H10" s="167">
        <f>Ene!$K$19</f>
        <v>5035.454545454545</v>
      </c>
    </row>
    <row r="11" spans="1:8" ht="21" customHeight="1">
      <c r="A11" s="69" t="s">
        <v>66</v>
      </c>
      <c r="B11" s="68" t="s">
        <v>135</v>
      </c>
      <c r="C11" s="70" t="s">
        <v>97</v>
      </c>
      <c r="D11" s="262">
        <v>4808</v>
      </c>
      <c r="E11" s="262">
        <v>4600.727272727273</v>
      </c>
      <c r="F11" s="263">
        <v>4808</v>
      </c>
      <c r="H11" s="167">
        <f>Ene!$L$19</f>
        <v>4808</v>
      </c>
    </row>
    <row r="12" spans="1:8" ht="21" customHeight="1">
      <c r="A12" s="69" t="s">
        <v>66</v>
      </c>
      <c r="B12" s="68" t="s">
        <v>88</v>
      </c>
      <c r="C12" s="70" t="s">
        <v>97</v>
      </c>
      <c r="D12" s="262">
        <v>220</v>
      </c>
      <c r="E12" s="262">
        <v>427.27272727272725</v>
      </c>
      <c r="F12" s="263">
        <v>220</v>
      </c>
      <c r="H12" s="167">
        <f>Ene!$M$19</f>
        <v>220</v>
      </c>
    </row>
    <row r="13" spans="1:8" ht="21" customHeight="1">
      <c r="A13" s="69" t="s">
        <v>66</v>
      </c>
      <c r="B13" s="68" t="s">
        <v>89</v>
      </c>
      <c r="C13" s="70" t="s">
        <v>97</v>
      </c>
      <c r="D13" s="262">
        <v>120</v>
      </c>
      <c r="E13" s="262">
        <v>227.45454545454538</v>
      </c>
      <c r="F13" s="263">
        <v>227.45454545454538</v>
      </c>
      <c r="H13" s="167">
        <f>Ene!$N$19</f>
        <v>227.45454545454538</v>
      </c>
    </row>
    <row r="14" spans="1:8" ht="21" customHeight="1">
      <c r="A14" s="72" t="s">
        <v>90</v>
      </c>
      <c r="B14" s="67"/>
      <c r="C14" s="67"/>
      <c r="D14" s="264"/>
      <c r="E14" s="264"/>
      <c r="F14" s="265"/>
      <c r="H14" s="251"/>
    </row>
    <row r="15" spans="1:8" ht="21" customHeight="1">
      <c r="A15" s="69" t="s">
        <v>66</v>
      </c>
      <c r="B15" s="68" t="s">
        <v>136</v>
      </c>
      <c r="C15" s="70" t="s">
        <v>97</v>
      </c>
      <c r="D15" s="262">
        <v>5072.8</v>
      </c>
      <c r="E15" s="262">
        <v>5191</v>
      </c>
      <c r="F15" s="263">
        <v>5191</v>
      </c>
      <c r="H15" s="167">
        <f>Ene!$O$19</f>
        <v>5191</v>
      </c>
    </row>
    <row r="16" spans="1:8" ht="21" customHeight="1">
      <c r="A16" s="69" t="s">
        <v>66</v>
      </c>
      <c r="B16" s="68" t="s">
        <v>91</v>
      </c>
      <c r="C16" s="70" t="s">
        <v>97</v>
      </c>
      <c r="D16" s="262">
        <v>378.2</v>
      </c>
      <c r="E16" s="262">
        <v>260</v>
      </c>
      <c r="F16" s="263">
        <v>260</v>
      </c>
      <c r="H16" s="167">
        <f>Ene!$P$19</f>
        <v>260</v>
      </c>
    </row>
    <row r="17" spans="1:8" ht="21" customHeight="1">
      <c r="A17" s="69" t="s">
        <v>66</v>
      </c>
      <c r="B17" s="68" t="s">
        <v>92</v>
      </c>
      <c r="C17" s="70" t="s">
        <v>97</v>
      </c>
      <c r="D17" s="262">
        <v>5451</v>
      </c>
      <c r="E17" s="262">
        <v>5451</v>
      </c>
      <c r="F17" s="263">
        <v>5451</v>
      </c>
      <c r="H17" s="167">
        <f>Ene!$Q$19</f>
        <v>5451</v>
      </c>
    </row>
    <row r="18" spans="1:8" ht="21" customHeight="1">
      <c r="A18" s="72" t="s">
        <v>93</v>
      </c>
      <c r="B18" s="67"/>
      <c r="C18" s="67"/>
      <c r="D18" s="264"/>
      <c r="E18" s="264"/>
      <c r="F18" s="265"/>
      <c r="H18" s="251"/>
    </row>
    <row r="19" spans="1:8" ht="21" customHeight="1">
      <c r="A19" s="69" t="s">
        <v>66</v>
      </c>
      <c r="B19" s="68" t="s">
        <v>94</v>
      </c>
      <c r="C19" s="70" t="s">
        <v>97</v>
      </c>
      <c r="D19" s="262">
        <v>12320</v>
      </c>
      <c r="E19" s="262">
        <v>12070.454545454544</v>
      </c>
      <c r="F19" s="263">
        <v>12588.636363636364</v>
      </c>
      <c r="H19" s="167">
        <f>Ene!$S$19</f>
        <v>12588.636363636364</v>
      </c>
    </row>
    <row r="20" spans="1:8" ht="21" customHeight="1">
      <c r="A20" s="69" t="s">
        <v>66</v>
      </c>
      <c r="B20" s="68" t="s">
        <v>95</v>
      </c>
      <c r="C20" s="70" t="s">
        <v>97</v>
      </c>
      <c r="D20" s="262">
        <v>429.77272727272737</v>
      </c>
      <c r="E20" s="262">
        <v>295.4545454545455</v>
      </c>
      <c r="F20" s="263">
        <v>295.4545454545455</v>
      </c>
      <c r="H20" s="167">
        <f>Ene!$T$19</f>
        <v>295.4545454545455</v>
      </c>
    </row>
    <row r="21" spans="1:8" ht="21" customHeight="1">
      <c r="A21" s="69" t="s">
        <v>66</v>
      </c>
      <c r="B21" s="68" t="s">
        <v>92</v>
      </c>
      <c r="C21" s="70" t="s">
        <v>97</v>
      </c>
      <c r="D21" s="262">
        <v>12749.772727272728</v>
      </c>
      <c r="E21" s="262">
        <v>12365.909090909092</v>
      </c>
      <c r="F21" s="263">
        <v>12884.090909090908</v>
      </c>
      <c r="H21" s="167">
        <f>Ene!$U$19</f>
        <v>12884.090909090908</v>
      </c>
    </row>
    <row r="22" spans="1:8" ht="21" customHeight="1">
      <c r="A22" s="72" t="s">
        <v>231</v>
      </c>
      <c r="B22" s="68"/>
      <c r="C22" s="70" t="s">
        <v>57</v>
      </c>
      <c r="D22" s="308">
        <v>0.8117532467532467</v>
      </c>
      <c r="E22" s="308">
        <v>0.8300583694219545</v>
      </c>
      <c r="F22" s="309">
        <v>0.8123560209424082</v>
      </c>
      <c r="H22" s="98">
        <f>(H10+H15)/H19</f>
        <v>0.8123560209424082</v>
      </c>
    </row>
    <row r="23" spans="1:8" ht="21" customHeight="1">
      <c r="A23" s="72" t="s">
        <v>96</v>
      </c>
      <c r="B23" s="68"/>
      <c r="C23" s="99" t="s">
        <v>98</v>
      </c>
      <c r="D23" s="266">
        <v>232.7</v>
      </c>
      <c r="E23" s="266">
        <v>233.1</v>
      </c>
      <c r="F23" s="267">
        <v>235.3</v>
      </c>
      <c r="H23" s="168">
        <f>Eco!$E$20</f>
        <v>235.3000000000001</v>
      </c>
    </row>
    <row r="24" spans="1:8" ht="21" customHeight="1">
      <c r="A24" s="72" t="s">
        <v>232</v>
      </c>
      <c r="B24" s="68"/>
      <c r="C24" s="99" t="s">
        <v>233</v>
      </c>
      <c r="D24" s="266">
        <v>1199.9563467090536</v>
      </c>
      <c r="E24" s="266">
        <v>1204.9412308460712</v>
      </c>
      <c r="F24" s="267">
        <v>1232.3580935996592</v>
      </c>
      <c r="H24" s="168">
        <f>'VAN-PRA'!$E$53/1000</f>
        <v>1232.3580935996592</v>
      </c>
    </row>
    <row r="25" spans="1:8" ht="21" customHeight="1">
      <c r="A25" s="72" t="s">
        <v>234</v>
      </c>
      <c r="B25" s="68"/>
      <c r="C25" s="99" t="s">
        <v>236</v>
      </c>
      <c r="D25" s="266">
        <v>9.322068210139403</v>
      </c>
      <c r="E25" s="266">
        <v>9.301647857079443</v>
      </c>
      <c r="F25" s="267">
        <v>9.190576931181516</v>
      </c>
      <c r="H25" s="168">
        <f>'VAN-PRA'!$E$54-'VAN-PRA'!$O$20</f>
        <v>9.190576931181516</v>
      </c>
    </row>
    <row r="26" spans="1:8" ht="21" customHeight="1">
      <c r="A26" s="72" t="s">
        <v>235</v>
      </c>
      <c r="B26" s="68"/>
      <c r="C26" s="99" t="s">
        <v>57</v>
      </c>
      <c r="D26" s="268">
        <v>0.12356638612263582</v>
      </c>
      <c r="E26" s="268">
        <v>0.12384470184784427</v>
      </c>
      <c r="F26" s="269">
        <v>0.12537273696265402</v>
      </c>
      <c r="H26" s="252">
        <f>TIR!$D$52</f>
        <v>0.12537273696265402</v>
      </c>
    </row>
    <row r="27" spans="1:6" ht="21" customHeight="1">
      <c r="A27" s="247"/>
      <c r="B27" s="248"/>
      <c r="C27" s="19"/>
      <c r="D27" s="250"/>
      <c r="E27" s="250"/>
      <c r="F27" s="249"/>
    </row>
    <row r="28" spans="1:6" ht="15">
      <c r="A28" s="256" t="s">
        <v>102</v>
      </c>
      <c r="B28" s="256"/>
      <c r="C28" s="256"/>
      <c r="D28" s="256"/>
      <c r="E28" s="256"/>
      <c r="F28" s="256"/>
    </row>
    <row r="29" spans="1:6" ht="15">
      <c r="A29" s="257" t="s">
        <v>101</v>
      </c>
      <c r="B29" s="256" t="s">
        <v>61</v>
      </c>
      <c r="C29" s="256"/>
      <c r="D29" s="256"/>
      <c r="E29" s="256"/>
      <c r="F29" s="256"/>
    </row>
    <row r="30" spans="1:6" ht="15">
      <c r="A30" s="257" t="s">
        <v>103</v>
      </c>
      <c r="B30" s="256" t="s">
        <v>63</v>
      </c>
      <c r="C30" s="256"/>
      <c r="D30" s="256"/>
      <c r="E30" s="256"/>
      <c r="F30" s="256"/>
    </row>
    <row r="31" spans="1:6" ht="15">
      <c r="A31" s="257" t="s">
        <v>104</v>
      </c>
      <c r="B31" s="256" t="s">
        <v>83</v>
      </c>
      <c r="C31" s="256"/>
      <c r="D31" s="256"/>
      <c r="E31" s="256"/>
      <c r="F31" s="256"/>
    </row>
    <row r="33" ht="15">
      <c r="A33" s="66" t="s">
        <v>237</v>
      </c>
    </row>
  </sheetData>
  <mergeCells count="1">
    <mergeCell ref="A2:F2"/>
  </mergeCells>
  <printOptions horizontalCentered="1"/>
  <pageMargins left="0.5905511811023623" right="0.3937007874015748" top="0.984251968503937" bottom="0.984251968503937" header="0.5118110236220472" footer="0.5118110236220472"/>
  <pageSetup horizontalDpi="600" verticalDpi="600" orientation="portrait" paperSize="9" r:id="rId1"/>
  <headerFooter alignWithMargins="0">
    <oddFooter>&amp;RCogenerazione - Pag. &amp;P</oddFooter>
  </headerFooter>
</worksheet>
</file>

<file path=xl/worksheets/sheet2.xml><?xml version="1.0" encoding="utf-8"?>
<worksheet xmlns="http://schemas.openxmlformats.org/spreadsheetml/2006/main" xmlns:r="http://schemas.openxmlformats.org/officeDocument/2006/relationships">
  <dimension ref="A1:P240"/>
  <sheetViews>
    <sheetView showGridLines="0" tabSelected="1" workbookViewId="0" topLeftCell="A1">
      <selection activeCell="A1" sqref="A1"/>
    </sheetView>
  </sheetViews>
  <sheetFormatPr defaultColWidth="9.140625" defaultRowHeight="12.75"/>
  <cols>
    <col min="1" max="1" width="3.7109375" style="4" customWidth="1"/>
    <col min="2" max="2" width="4.140625" style="4" customWidth="1"/>
    <col min="3" max="3" width="10.57421875" style="4" customWidth="1"/>
    <col min="4" max="4" width="12.00390625" style="4" customWidth="1"/>
    <col min="5" max="5" width="12.7109375" style="4" customWidth="1"/>
    <col min="6" max="8" width="11.57421875" style="4" customWidth="1"/>
    <col min="9" max="9" width="3.7109375" style="341" customWidth="1"/>
    <col min="10" max="10" width="9.7109375" style="4" customWidth="1"/>
    <col min="11" max="11" width="15.00390625" style="4" customWidth="1"/>
    <col min="12" max="16384" width="9.140625" style="4" customWidth="1"/>
  </cols>
  <sheetData>
    <row r="1" spans="1:5" ht="15.75">
      <c r="A1" s="272" t="s">
        <v>53</v>
      </c>
      <c r="B1" s="111"/>
      <c r="C1" s="111"/>
      <c r="D1" s="111"/>
      <c r="E1" s="111"/>
    </row>
    <row r="2" spans="1:5" ht="12.75">
      <c r="A2" s="111"/>
      <c r="B2" s="111"/>
      <c r="C2" s="111"/>
      <c r="D2" s="111"/>
      <c r="E2" s="111"/>
    </row>
    <row r="3" spans="1:11" ht="12.75">
      <c r="A3" s="360" t="s">
        <v>124</v>
      </c>
      <c r="B3" s="360"/>
      <c r="C3" s="360"/>
      <c r="D3" s="360"/>
      <c r="E3" s="360"/>
      <c r="F3" s="360"/>
      <c r="G3" s="360"/>
      <c r="H3" s="360"/>
      <c r="I3" s="360"/>
      <c r="J3" s="360"/>
      <c r="K3" s="360"/>
    </row>
    <row r="4" spans="1:11" ht="12.75">
      <c r="A4" s="354" t="s">
        <v>249</v>
      </c>
      <c r="B4" s="354"/>
      <c r="C4" s="354"/>
      <c r="D4" s="354"/>
      <c r="E4" s="354"/>
      <c r="F4" s="354"/>
      <c r="G4" s="354"/>
      <c r="H4" s="354"/>
      <c r="I4" s="354"/>
      <c r="J4" s="354"/>
      <c r="K4" s="354"/>
    </row>
    <row r="5" spans="1:11" ht="12.75">
      <c r="A5" s="354"/>
      <c r="B5" s="354"/>
      <c r="C5" s="354"/>
      <c r="D5" s="354"/>
      <c r="E5" s="354"/>
      <c r="F5" s="354"/>
      <c r="G5" s="354"/>
      <c r="H5" s="354"/>
      <c r="I5" s="354"/>
      <c r="J5" s="354"/>
      <c r="K5" s="354"/>
    </row>
    <row r="6" spans="1:5" ht="12.75">
      <c r="A6" s="111" t="s">
        <v>129</v>
      </c>
      <c r="B6" s="111"/>
      <c r="C6" s="111"/>
      <c r="D6" s="111"/>
      <c r="E6" s="111"/>
    </row>
    <row r="7" spans="1:11" ht="12.75">
      <c r="A7" s="113" t="s">
        <v>66</v>
      </c>
      <c r="B7" s="111" t="s">
        <v>288</v>
      </c>
      <c r="C7" s="111"/>
      <c r="H7" s="316" t="s">
        <v>292</v>
      </c>
      <c r="I7" s="341" t="s">
        <v>289</v>
      </c>
      <c r="J7" s="310">
        <v>0.1</v>
      </c>
      <c r="K7" s="111" t="s">
        <v>54</v>
      </c>
    </row>
    <row r="8" spans="1:8" ht="12.75">
      <c r="A8" s="113" t="s">
        <v>66</v>
      </c>
      <c r="B8" s="111" t="s">
        <v>201</v>
      </c>
      <c r="C8" s="111"/>
      <c r="D8" s="111"/>
      <c r="E8" s="111"/>
      <c r="H8" s="316"/>
    </row>
    <row r="9" spans="1:11" ht="12.75">
      <c r="A9" s="111"/>
      <c r="B9" s="111" t="s">
        <v>67</v>
      </c>
      <c r="C9" s="111" t="s">
        <v>150</v>
      </c>
      <c r="E9" s="111"/>
      <c r="H9" s="316" t="s">
        <v>294</v>
      </c>
      <c r="I9" s="341" t="s">
        <v>289</v>
      </c>
      <c r="J9" s="147">
        <v>0.33</v>
      </c>
      <c r="K9" s="111" t="s">
        <v>55</v>
      </c>
    </row>
    <row r="10" spans="1:11" ht="12.75">
      <c r="A10" s="111"/>
      <c r="B10" s="111" t="s">
        <v>67</v>
      </c>
      <c r="C10" s="111" t="s">
        <v>151</v>
      </c>
      <c r="E10" s="111"/>
      <c r="H10" s="316" t="s">
        <v>290</v>
      </c>
      <c r="I10" s="341" t="s">
        <v>289</v>
      </c>
      <c r="J10" s="147">
        <v>9.59</v>
      </c>
      <c r="K10" s="111" t="s">
        <v>56</v>
      </c>
    </row>
    <row r="11" spans="1:11" ht="12.75">
      <c r="A11" s="111"/>
      <c r="B11" s="111" t="s">
        <v>67</v>
      </c>
      <c r="C11" s="111" t="s">
        <v>152</v>
      </c>
      <c r="E11" s="111"/>
      <c r="H11" s="316" t="s">
        <v>291</v>
      </c>
      <c r="I11" s="341" t="s">
        <v>289</v>
      </c>
      <c r="J11" s="280">
        <v>0.88</v>
      </c>
      <c r="K11" s="111"/>
    </row>
    <row r="12" spans="1:11" ht="12.75">
      <c r="A12" s="354" t="s">
        <v>130</v>
      </c>
      <c r="B12" s="354"/>
      <c r="C12" s="354"/>
      <c r="D12" s="354"/>
      <c r="E12" s="354"/>
      <c r="F12" s="354"/>
      <c r="G12" s="354"/>
      <c r="H12" s="354"/>
      <c r="I12" s="354"/>
      <c r="J12" s="354"/>
      <c r="K12" s="354"/>
    </row>
    <row r="13" spans="1:11" ht="12.75">
      <c r="A13" s="354"/>
      <c r="B13" s="354"/>
      <c r="C13" s="354"/>
      <c r="D13" s="354"/>
      <c r="E13" s="354"/>
      <c r="F13" s="354"/>
      <c r="G13" s="354"/>
      <c r="H13" s="354"/>
      <c r="I13" s="354"/>
      <c r="J13" s="354"/>
      <c r="K13" s="354"/>
    </row>
    <row r="14" spans="1:11" ht="12.75">
      <c r="A14" s="113" t="s">
        <v>66</v>
      </c>
      <c r="B14" s="111" t="s">
        <v>202</v>
      </c>
      <c r="C14" s="111"/>
      <c r="H14" s="317" t="s">
        <v>293</v>
      </c>
      <c r="I14" s="341" t="s">
        <v>289</v>
      </c>
      <c r="J14" s="311">
        <v>0.07</v>
      </c>
      <c r="K14" s="111" t="s">
        <v>54</v>
      </c>
    </row>
    <row r="15" spans="1:11" ht="12.75">
      <c r="A15" s="113" t="s">
        <v>66</v>
      </c>
      <c r="B15" s="111" t="s">
        <v>58</v>
      </c>
      <c r="C15" s="111"/>
      <c r="H15" s="317" t="s">
        <v>295</v>
      </c>
      <c r="I15" s="341" t="s">
        <v>289</v>
      </c>
      <c r="J15" s="312">
        <v>0.3</v>
      </c>
      <c r="K15" s="111" t="s">
        <v>55</v>
      </c>
    </row>
    <row r="16" spans="1:11" ht="12.75">
      <c r="A16" s="113" t="s">
        <v>66</v>
      </c>
      <c r="B16" s="111" t="s">
        <v>132</v>
      </c>
      <c r="C16" s="111"/>
      <c r="H16" s="317" t="s">
        <v>296</v>
      </c>
      <c r="I16" s="341" t="s">
        <v>289</v>
      </c>
      <c r="J16" s="148">
        <v>15000</v>
      </c>
      <c r="K16" s="111" t="s">
        <v>59</v>
      </c>
    </row>
    <row r="17" spans="1:11" ht="12.75">
      <c r="A17" s="113" t="s">
        <v>66</v>
      </c>
      <c r="B17" s="111" t="s">
        <v>131</v>
      </c>
      <c r="C17" s="111"/>
      <c r="H17" s="317" t="s">
        <v>297</v>
      </c>
      <c r="I17" s="341" t="s">
        <v>289</v>
      </c>
      <c r="J17" s="147">
        <v>0.011</v>
      </c>
      <c r="K17" s="111" t="s">
        <v>325</v>
      </c>
    </row>
    <row r="18" spans="1:5" ht="12.75">
      <c r="A18" s="111"/>
      <c r="B18" s="111"/>
      <c r="C18" s="111"/>
      <c r="D18" s="111"/>
      <c r="E18" s="111"/>
    </row>
    <row r="19" spans="1:11" ht="12.75">
      <c r="A19" s="360" t="s">
        <v>268</v>
      </c>
      <c r="B19" s="360"/>
      <c r="C19" s="360"/>
      <c r="D19" s="360"/>
      <c r="E19" s="360"/>
      <c r="F19" s="360"/>
      <c r="G19" s="360"/>
      <c r="H19" s="360"/>
      <c r="I19" s="360"/>
      <c r="J19" s="360"/>
      <c r="K19" s="360"/>
    </row>
    <row r="20" spans="1:11" ht="12.75">
      <c r="A20" s="354" t="s">
        <v>140</v>
      </c>
      <c r="B20" s="354"/>
      <c r="C20" s="354"/>
      <c r="D20" s="354"/>
      <c r="E20" s="354"/>
      <c r="F20" s="354"/>
      <c r="G20" s="354"/>
      <c r="H20" s="354"/>
      <c r="I20" s="354"/>
      <c r="J20" s="354"/>
      <c r="K20" s="354"/>
    </row>
    <row r="21" spans="1:11" ht="12.75">
      <c r="A21" s="354"/>
      <c r="B21" s="354"/>
      <c r="C21" s="354"/>
      <c r="D21" s="354"/>
      <c r="E21" s="354"/>
      <c r="F21" s="354"/>
      <c r="G21" s="354"/>
      <c r="H21" s="354"/>
      <c r="I21" s="354"/>
      <c r="J21" s="354"/>
      <c r="K21" s="354"/>
    </row>
    <row r="22" spans="1:11" ht="12.75">
      <c r="A22" s="354" t="s">
        <v>203</v>
      </c>
      <c r="B22" s="354"/>
      <c r="C22" s="354"/>
      <c r="D22" s="354"/>
      <c r="E22" s="354"/>
      <c r="F22" s="354"/>
      <c r="G22" s="354"/>
      <c r="H22" s="354"/>
      <c r="I22" s="354"/>
      <c r="J22" s="354"/>
      <c r="K22" s="354"/>
    </row>
    <row r="23" spans="1:11" ht="12.75">
      <c r="A23" s="354"/>
      <c r="B23" s="354"/>
      <c r="C23" s="354"/>
      <c r="D23" s="354"/>
      <c r="E23" s="354"/>
      <c r="F23" s="354"/>
      <c r="G23" s="354"/>
      <c r="H23" s="354"/>
      <c r="I23" s="354"/>
      <c r="J23" s="354"/>
      <c r="K23" s="354"/>
    </row>
    <row r="24" spans="1:11" ht="12.75">
      <c r="A24" s="111" t="s">
        <v>299</v>
      </c>
      <c r="H24" s="316" t="s">
        <v>298</v>
      </c>
      <c r="I24" s="341" t="s">
        <v>289</v>
      </c>
      <c r="J24" s="144">
        <v>1000</v>
      </c>
      <c r="K24" s="111" t="s">
        <v>141</v>
      </c>
    </row>
    <row r="25" spans="1:14" ht="12.75">
      <c r="A25" s="354" t="str">
        <f>"che consente (vedere tabella con curva di durata dei carichi) di utilizzare il motore alla potenza massima di "&amp;TEXT($J$24,"#.##0")&amp;" kW per "&amp;TEXT($M$25,"#.##0")&amp;" ore/anno (NB: nelle restanti ore, il motore POTREBBE EVENTUALMENTE funzionare ancora a carico massimo, esportando il surplus di produzione sulla rete pubblica)."</f>
        <v>che consente (vedere tabella con curva di durata dei carichi) di utilizzare il motore alla potenza massima di 1.000 kW per 1.500 ore/anno (NB: nelle restanti ore, il motore POTREBBE EVENTUALMENTE funzionare ancora a carico massimo, esportando il surplus di produzione sulla rete pubblica).</v>
      </c>
      <c r="B25" s="354"/>
      <c r="C25" s="354"/>
      <c r="D25" s="354"/>
      <c r="E25" s="354"/>
      <c r="F25" s="354"/>
      <c r="G25" s="354"/>
      <c r="H25" s="354"/>
      <c r="I25" s="354"/>
      <c r="J25" s="354"/>
      <c r="K25" s="354"/>
      <c r="M25" s="418">
        <f>Curdura!$H$15</f>
        <v>1500</v>
      </c>
      <c r="N25" s="340" t="s">
        <v>326</v>
      </c>
    </row>
    <row r="26" spans="1:11" ht="12.75">
      <c r="A26" s="354"/>
      <c r="B26" s="354"/>
      <c r="C26" s="354"/>
      <c r="D26" s="354"/>
      <c r="E26" s="354"/>
      <c r="F26" s="354"/>
      <c r="G26" s="354"/>
      <c r="H26" s="354"/>
      <c r="I26" s="354"/>
      <c r="J26" s="354"/>
      <c r="K26" s="354"/>
    </row>
    <row r="27" spans="1:11" ht="12.75">
      <c r="A27" s="354"/>
      <c r="B27" s="354"/>
      <c r="C27" s="354"/>
      <c r="D27" s="354"/>
      <c r="E27" s="354"/>
      <c r="F27" s="354"/>
      <c r="G27" s="354"/>
      <c r="H27" s="354"/>
      <c r="I27" s="354"/>
      <c r="J27" s="354"/>
      <c r="K27" s="354"/>
    </row>
    <row r="28" spans="1:11" ht="12.75">
      <c r="A28" s="354" t="s">
        <v>270</v>
      </c>
      <c r="B28" s="354"/>
      <c r="C28" s="354"/>
      <c r="D28" s="354"/>
      <c r="E28" s="354"/>
      <c r="F28" s="354"/>
      <c r="G28" s="354"/>
      <c r="H28" s="354"/>
      <c r="I28" s="354"/>
      <c r="J28" s="354"/>
      <c r="K28" s="354"/>
    </row>
    <row r="29" spans="1:11" ht="12.75">
      <c r="A29" s="354"/>
      <c r="B29" s="354"/>
      <c r="C29" s="354"/>
      <c r="D29" s="354"/>
      <c r="E29" s="354"/>
      <c r="F29" s="354"/>
      <c r="G29" s="354"/>
      <c r="H29" s="354"/>
      <c r="I29" s="354"/>
      <c r="J29" s="354"/>
      <c r="K29" s="354"/>
    </row>
    <row r="30" spans="1:11" ht="12.75">
      <c r="A30" s="114" t="s">
        <v>269</v>
      </c>
      <c r="B30" s="112"/>
      <c r="C30" s="112"/>
      <c r="D30" s="112"/>
      <c r="E30" s="112"/>
      <c r="F30" s="112"/>
      <c r="G30" s="112"/>
      <c r="H30" s="112"/>
      <c r="J30" s="112"/>
      <c r="K30" s="112"/>
    </row>
    <row r="31" spans="1:11" ht="12.75">
      <c r="A31" s="113" t="s">
        <v>66</v>
      </c>
      <c r="B31" s="111" t="s">
        <v>302</v>
      </c>
      <c r="C31" s="111"/>
      <c r="H31" s="316" t="s">
        <v>300</v>
      </c>
      <c r="I31" s="341" t="s">
        <v>289</v>
      </c>
      <c r="J31" s="145">
        <v>0.4</v>
      </c>
      <c r="K31" s="111"/>
    </row>
    <row r="32" spans="1:11" ht="12.75">
      <c r="A32" s="113" t="s">
        <v>66</v>
      </c>
      <c r="B32" s="111" t="s">
        <v>303</v>
      </c>
      <c r="C32" s="111"/>
      <c r="H32" s="316" t="s">
        <v>301</v>
      </c>
      <c r="I32" s="341" t="s">
        <v>289</v>
      </c>
      <c r="J32" s="145">
        <v>0.44</v>
      </c>
      <c r="K32" s="111"/>
    </row>
    <row r="33" spans="1:11" ht="12.75">
      <c r="A33" s="114" t="s">
        <v>142</v>
      </c>
      <c r="B33" s="111"/>
      <c r="C33" s="111"/>
      <c r="H33" s="316"/>
      <c r="I33" s="341" t="s">
        <v>289</v>
      </c>
      <c r="J33" s="146">
        <v>0.5</v>
      </c>
      <c r="K33" s="4" t="s">
        <v>143</v>
      </c>
    </row>
    <row r="34" spans="1:11" ht="12.75">
      <c r="A34" s="228" t="s">
        <v>204</v>
      </c>
      <c r="B34" s="111"/>
      <c r="C34" s="111"/>
      <c r="H34" s="316"/>
      <c r="J34" s="115"/>
      <c r="K34" s="111"/>
    </row>
    <row r="35" spans="1:11" ht="12.75">
      <c r="A35" s="114" t="s">
        <v>307</v>
      </c>
      <c r="B35" s="111"/>
      <c r="C35" s="111"/>
      <c r="H35" s="316" t="s">
        <v>305</v>
      </c>
      <c r="I35" s="341" t="s">
        <v>289</v>
      </c>
      <c r="J35" s="119">
        <f>J$24/J31</f>
        <v>2500</v>
      </c>
      <c r="K35" s="111" t="s">
        <v>141</v>
      </c>
    </row>
    <row r="36" spans="1:11" ht="12.75">
      <c r="A36" s="114" t="s">
        <v>304</v>
      </c>
      <c r="B36" s="111"/>
      <c r="C36" s="111"/>
      <c r="H36" s="316" t="s">
        <v>306</v>
      </c>
      <c r="I36" s="341" t="s">
        <v>289</v>
      </c>
      <c r="J36" s="119">
        <f>J35*J32</f>
        <v>1100</v>
      </c>
      <c r="K36" s="111" t="s">
        <v>141</v>
      </c>
    </row>
    <row r="37" spans="1:11" ht="12.75">
      <c r="A37" s="357" t="str">
        <f>"Dalla tabella con la curva di durata dei carichi, si vede che è possibile  utilizzare integralmente (o quasi) la potenza termica massima per i primi 5 scaglioni, per un totale di "&amp;TEXT($M$39,"#.##0")&amp;" ore/anno. Tenuto conto che per le rimanenti ore la potenza può essere sfruttata in percentuale elevata,  il motore da 1.000 kW è idoneo per il caso in questione."</f>
        <v>Dalla tabella con la curva di durata dei carichi, si vede che è possibile  utilizzare integralmente (o quasi) la potenza termica massima per i primi 5 scaglioni, per un totale di 2.900 ore/anno. Tenuto conto che per le rimanenti ore la potenza può essere sfruttata in percentuale elevata,  il motore da 1.000 kW è idoneo per il caso in questione.</v>
      </c>
      <c r="B37" s="357"/>
      <c r="C37" s="357"/>
      <c r="D37" s="357"/>
      <c r="E37" s="357"/>
      <c r="F37" s="357"/>
      <c r="G37" s="357"/>
      <c r="H37" s="357"/>
      <c r="I37" s="357"/>
      <c r="J37" s="357"/>
      <c r="K37" s="357"/>
    </row>
    <row r="38" spans="1:11" ht="12.75">
      <c r="A38" s="357"/>
      <c r="B38" s="357"/>
      <c r="C38" s="357"/>
      <c r="D38" s="357"/>
      <c r="E38" s="357"/>
      <c r="F38" s="357"/>
      <c r="G38" s="357"/>
      <c r="H38" s="357"/>
      <c r="I38" s="357"/>
      <c r="J38" s="357"/>
      <c r="K38" s="357"/>
    </row>
    <row r="39" spans="1:14" ht="12.75">
      <c r="A39" s="357"/>
      <c r="B39" s="357"/>
      <c r="C39" s="357"/>
      <c r="D39" s="357"/>
      <c r="E39" s="357"/>
      <c r="F39" s="357"/>
      <c r="G39" s="357"/>
      <c r="H39" s="357"/>
      <c r="I39" s="357"/>
      <c r="J39" s="357"/>
      <c r="K39" s="357"/>
      <c r="M39" s="418">
        <f>Curdura!$K$15</f>
        <v>2900</v>
      </c>
      <c r="N39" s="340" t="s">
        <v>326</v>
      </c>
    </row>
    <row r="40" spans="1:11" ht="12.75">
      <c r="A40" s="357"/>
      <c r="B40" s="357"/>
      <c r="C40" s="357"/>
      <c r="D40" s="357"/>
      <c r="E40" s="357"/>
      <c r="F40" s="357"/>
      <c r="G40" s="357"/>
      <c r="H40" s="357"/>
      <c r="I40" s="357"/>
      <c r="J40" s="357"/>
      <c r="K40" s="357"/>
    </row>
    <row r="41" spans="1:11" ht="12.75">
      <c r="A41" s="114"/>
      <c r="B41" s="111"/>
      <c r="C41" s="111"/>
      <c r="K41" s="119"/>
    </row>
    <row r="42" spans="1:11" ht="12.75">
      <c r="A42" s="114" t="s">
        <v>148</v>
      </c>
      <c r="B42" s="112"/>
      <c r="C42" s="112"/>
      <c r="D42" s="112"/>
      <c r="E42" s="112"/>
      <c r="F42" s="112"/>
      <c r="H42" s="316" t="s">
        <v>322</v>
      </c>
      <c r="I42" s="341" t="s">
        <v>289</v>
      </c>
      <c r="J42" s="327">
        <v>1700000</v>
      </c>
      <c r="K42" s="111" t="s">
        <v>147</v>
      </c>
    </row>
    <row r="43" spans="1:11" ht="12.75">
      <c r="A43" s="114"/>
      <c r="B43" s="111"/>
      <c r="C43" s="111"/>
      <c r="K43" s="119"/>
    </row>
    <row r="44" spans="1:5" ht="12.75">
      <c r="A44" s="111"/>
      <c r="B44" s="111"/>
      <c r="C44" s="111"/>
      <c r="D44" s="111"/>
      <c r="E44" s="111"/>
    </row>
    <row r="45" spans="1:5" ht="12.75">
      <c r="A45" s="110" t="s">
        <v>149</v>
      </c>
      <c r="B45" s="111"/>
      <c r="C45" s="111"/>
      <c r="D45" s="111"/>
      <c r="E45" s="111"/>
    </row>
    <row r="46" spans="1:11" ht="12.75">
      <c r="A46" s="355" t="s">
        <v>327</v>
      </c>
      <c r="B46" s="355"/>
      <c r="C46" s="355"/>
      <c r="D46" s="355"/>
      <c r="E46" s="355"/>
      <c r="F46" s="355"/>
      <c r="G46" s="355"/>
      <c r="H46" s="355"/>
      <c r="I46" s="355"/>
      <c r="J46" s="355"/>
      <c r="K46" s="355"/>
    </row>
    <row r="47" spans="1:11" ht="12.75">
      <c r="A47" s="355"/>
      <c r="B47" s="355"/>
      <c r="C47" s="355"/>
      <c r="D47" s="355"/>
      <c r="E47" s="355"/>
      <c r="F47" s="355"/>
      <c r="G47" s="355"/>
      <c r="H47" s="355"/>
      <c r="I47" s="355"/>
      <c r="J47" s="355"/>
      <c r="K47" s="355"/>
    </row>
    <row r="48" spans="1:11" ht="12.75">
      <c r="A48" s="355"/>
      <c r="B48" s="355"/>
      <c r="C48" s="355"/>
      <c r="D48" s="355"/>
      <c r="E48" s="355"/>
      <c r="F48" s="355"/>
      <c r="G48" s="355"/>
      <c r="H48" s="355"/>
      <c r="I48" s="355"/>
      <c r="J48" s="355"/>
      <c r="K48" s="355"/>
    </row>
    <row r="49" spans="1:11" ht="12.75">
      <c r="A49" s="113" t="s">
        <v>66</v>
      </c>
      <c r="B49" s="114" t="s">
        <v>308</v>
      </c>
      <c r="C49" s="112"/>
      <c r="D49" s="112"/>
      <c r="E49" s="112"/>
      <c r="F49" s="112"/>
      <c r="G49" s="112"/>
      <c r="H49" s="112"/>
      <c r="J49" s="112"/>
      <c r="K49" s="112"/>
    </row>
    <row r="50" spans="1:11" ht="12.75">
      <c r="A50" s="113"/>
      <c r="B50" s="413" t="s">
        <v>328</v>
      </c>
      <c r="E50" s="314">
        <f>J15</f>
        <v>0.3</v>
      </c>
      <c r="F50" s="111" t="str">
        <f>K15&amp;" / "</f>
        <v>Euro/Sm3 / </v>
      </c>
      <c r="G50" s="113">
        <f>J10</f>
        <v>9.59</v>
      </c>
      <c r="H50" s="114" t="str">
        <f>K10</f>
        <v>kWh/Sm3</v>
      </c>
      <c r="I50" s="341" t="s">
        <v>28</v>
      </c>
      <c r="J50" s="4">
        <f>ROUND(E50/G50,3)</f>
        <v>0.031</v>
      </c>
      <c r="K50" s="4" t="s">
        <v>323</v>
      </c>
    </row>
    <row r="51" spans="1:5" ht="12.75">
      <c r="A51" s="113" t="s">
        <v>66</v>
      </c>
      <c r="B51" s="413" t="str">
        <f>"bruciando un kWh termico si ottengono "&amp;TEXT($J$31,"0,00")&amp;" kWhe (rend. el. = "&amp;TEXT($J$31,"0,00")&amp;")"</f>
        <v>bruciando un kWh termico si ottengono 0,40 kWhe (rend. el. = 0,40)</v>
      </c>
      <c r="C51" s="114"/>
      <c r="D51" s="111"/>
      <c r="E51" s="111"/>
    </row>
    <row r="52" spans="1:8" ht="12.75">
      <c r="A52" s="113" t="s">
        <v>66</v>
      </c>
      <c r="B52" s="413" t="s">
        <v>309</v>
      </c>
      <c r="C52" s="114"/>
      <c r="D52" s="111"/>
      <c r="E52" s="111"/>
      <c r="H52" s="315"/>
    </row>
    <row r="53" spans="1:11" ht="12.75">
      <c r="A53" s="113"/>
      <c r="B53" s="413"/>
      <c r="E53" s="316">
        <f>J50</f>
        <v>0.031</v>
      </c>
      <c r="F53" s="111" t="str">
        <f>K50&amp;" / "</f>
        <v>Euro/kWht / </v>
      </c>
      <c r="G53" s="318">
        <f>J31</f>
        <v>0.4</v>
      </c>
      <c r="H53" s="113"/>
      <c r="I53" s="341" t="s">
        <v>28</v>
      </c>
      <c r="J53" s="4">
        <f>ROUND($J$50/$J$31,3)</f>
        <v>0.078</v>
      </c>
      <c r="K53" s="4" t="s">
        <v>324</v>
      </c>
    </row>
    <row r="54" spans="1:5" ht="12.75">
      <c r="A54" s="113"/>
      <c r="B54" s="414" t="str">
        <f>"(significa che per produrre 1 kWh elettrico occorre bruciare del gas il cui costo è "&amp;TEXT($J$53,"0,000")&amp;" Euro)"</f>
        <v>(significa che per produrre 1 kWh elettrico occorre bruciare del gas il cui costo è 0,078 Euro)</v>
      </c>
      <c r="C54" s="149"/>
      <c r="D54" s="111"/>
      <c r="E54" s="111"/>
    </row>
    <row r="55" spans="1:5" ht="12.75">
      <c r="A55" s="113" t="s">
        <v>66</v>
      </c>
      <c r="B55" s="413" t="s">
        <v>310</v>
      </c>
      <c r="C55" s="114"/>
      <c r="D55" s="111"/>
      <c r="E55" s="111"/>
    </row>
    <row r="56" spans="1:11" ht="12.75">
      <c r="A56" s="113"/>
      <c r="B56" s="413"/>
      <c r="C56" s="114"/>
      <c r="E56" s="111">
        <f>J53</f>
        <v>0.078</v>
      </c>
      <c r="F56" s="113" t="s">
        <v>27</v>
      </c>
      <c r="G56" s="4">
        <f>J17</f>
        <v>0.011</v>
      </c>
      <c r="H56" s="113"/>
      <c r="I56" s="341" t="s">
        <v>28</v>
      </c>
      <c r="J56" s="4">
        <f>E56+G56</f>
        <v>0.089</v>
      </c>
      <c r="K56" s="4" t="s">
        <v>54</v>
      </c>
    </row>
    <row r="57" spans="1:11" ht="12.75">
      <c r="A57" s="113" t="s">
        <v>66</v>
      </c>
      <c r="B57" s="361" t="s">
        <v>311</v>
      </c>
      <c r="C57" s="361"/>
      <c r="D57" s="361"/>
      <c r="E57" s="361"/>
      <c r="F57" s="361"/>
      <c r="G57" s="361"/>
      <c r="H57" s="361"/>
      <c r="I57" s="361"/>
      <c r="J57" s="361"/>
      <c r="K57" s="361"/>
    </row>
    <row r="58" spans="1:11" ht="12.75">
      <c r="A58" s="116"/>
      <c r="B58" s="361"/>
      <c r="C58" s="361"/>
      <c r="D58" s="361"/>
      <c r="E58" s="361"/>
      <c r="F58" s="361"/>
      <c r="G58" s="361"/>
      <c r="H58" s="361"/>
      <c r="I58" s="361"/>
      <c r="J58" s="361"/>
      <c r="K58" s="361"/>
    </row>
    <row r="59" spans="1:11" ht="12.75">
      <c r="A59" s="116"/>
      <c r="B59" s="361"/>
      <c r="C59" s="361"/>
      <c r="D59" s="361"/>
      <c r="E59" s="361"/>
      <c r="F59" s="361"/>
      <c r="G59" s="361"/>
      <c r="H59" s="361"/>
      <c r="I59" s="361"/>
      <c r="J59" s="361"/>
      <c r="K59" s="361"/>
    </row>
    <row r="60" spans="1:11" ht="12.75">
      <c r="A60" s="116"/>
      <c r="B60" s="361"/>
      <c r="C60" s="361"/>
      <c r="D60" s="361"/>
      <c r="E60" s="361"/>
      <c r="F60" s="361"/>
      <c r="G60" s="361"/>
      <c r="H60" s="361"/>
      <c r="I60" s="361"/>
      <c r="J60" s="361"/>
      <c r="K60" s="361"/>
    </row>
    <row r="61" spans="1:11" ht="12.75">
      <c r="A61" s="116"/>
      <c r="B61" s="361"/>
      <c r="C61" s="361"/>
      <c r="D61" s="361"/>
      <c r="E61" s="361"/>
      <c r="F61" s="361"/>
      <c r="G61" s="361"/>
      <c r="H61" s="361"/>
      <c r="I61" s="361"/>
      <c r="J61" s="361"/>
      <c r="K61" s="361"/>
    </row>
    <row r="62" spans="1:11" ht="12.75">
      <c r="A62" s="113" t="s">
        <v>66</v>
      </c>
      <c r="B62" s="357" t="s">
        <v>312</v>
      </c>
      <c r="C62" s="357"/>
      <c r="D62" s="357"/>
      <c r="E62" s="357"/>
      <c r="F62" s="357"/>
      <c r="G62" s="357"/>
      <c r="H62" s="357"/>
      <c r="I62" s="357"/>
      <c r="J62" s="357"/>
      <c r="K62" s="357"/>
    </row>
    <row r="63" spans="1:11" ht="12.75">
      <c r="A63" s="116"/>
      <c r="B63" s="357"/>
      <c r="C63" s="357"/>
      <c r="D63" s="357"/>
      <c r="E63" s="357"/>
      <c r="F63" s="357"/>
      <c r="G63" s="357"/>
      <c r="H63" s="357"/>
      <c r="I63" s="357"/>
      <c r="J63" s="357"/>
      <c r="K63" s="357"/>
    </row>
    <row r="64" spans="1:11" ht="12.75">
      <c r="A64" s="116"/>
      <c r="B64" s="357"/>
      <c r="C64" s="357"/>
      <c r="D64" s="357"/>
      <c r="E64" s="357"/>
      <c r="F64" s="357"/>
      <c r="G64" s="357"/>
      <c r="H64" s="357"/>
      <c r="I64" s="357"/>
      <c r="J64" s="357"/>
      <c r="K64" s="357"/>
    </row>
    <row r="65" spans="1:11" ht="12.75">
      <c r="A65" s="116"/>
      <c r="B65" s="357" t="s">
        <v>205</v>
      </c>
      <c r="C65" s="357"/>
      <c r="D65" s="357"/>
      <c r="E65" s="357"/>
      <c r="F65" s="357"/>
      <c r="G65" s="357"/>
      <c r="H65" s="357"/>
      <c r="I65" s="357"/>
      <c r="J65" s="357"/>
      <c r="K65" s="357"/>
    </row>
    <row r="66" spans="1:11" ht="12.75">
      <c r="A66" s="116"/>
      <c r="B66" s="357"/>
      <c r="C66" s="357"/>
      <c r="D66" s="357"/>
      <c r="E66" s="357"/>
      <c r="F66" s="357"/>
      <c r="G66" s="357"/>
      <c r="H66" s="357"/>
      <c r="I66" s="357"/>
      <c r="J66" s="357"/>
      <c r="K66" s="357"/>
    </row>
    <row r="67" spans="1:11" ht="12.75">
      <c r="A67" s="116"/>
      <c r="B67" s="357"/>
      <c r="C67" s="357"/>
      <c r="D67" s="357"/>
      <c r="E67" s="357"/>
      <c r="F67" s="357"/>
      <c r="G67" s="357"/>
      <c r="H67" s="357"/>
      <c r="I67" s="357"/>
      <c r="J67" s="357"/>
      <c r="K67" s="357"/>
    </row>
    <row r="68" spans="1:11" ht="12.75">
      <c r="A68" s="113" t="s">
        <v>66</v>
      </c>
      <c r="B68" s="354" t="s">
        <v>206</v>
      </c>
      <c r="C68" s="354"/>
      <c r="D68" s="354"/>
      <c r="E68" s="354"/>
      <c r="F68" s="354"/>
      <c r="G68" s="354"/>
      <c r="H68" s="354"/>
      <c r="I68" s="354"/>
      <c r="J68" s="354"/>
      <c r="K68" s="354"/>
    </row>
    <row r="69" spans="1:11" ht="12.75">
      <c r="A69" s="116"/>
      <c r="B69" s="354"/>
      <c r="C69" s="354"/>
      <c r="D69" s="354"/>
      <c r="E69" s="354"/>
      <c r="F69" s="354"/>
      <c r="G69" s="354"/>
      <c r="H69" s="354"/>
      <c r="I69" s="354"/>
      <c r="J69" s="354"/>
      <c r="K69" s="354"/>
    </row>
    <row r="70" spans="1:11" ht="12.75">
      <c r="A70" s="116"/>
      <c r="B70" s="354"/>
      <c r="C70" s="354"/>
      <c r="D70" s="354"/>
      <c r="E70" s="354"/>
      <c r="F70" s="354"/>
      <c r="G70" s="354"/>
      <c r="H70" s="354"/>
      <c r="I70" s="354"/>
      <c r="J70" s="354"/>
      <c r="K70" s="354"/>
    </row>
    <row r="71" spans="1:11" ht="12.75">
      <c r="A71" s="116"/>
      <c r="B71" s="112"/>
      <c r="C71" s="112"/>
      <c r="D71" s="112"/>
      <c r="E71" s="112"/>
      <c r="F71" s="112"/>
      <c r="G71" s="112"/>
      <c r="H71" s="112"/>
      <c r="J71" s="112"/>
      <c r="K71" s="112"/>
    </row>
    <row r="72" spans="1:5" ht="12.75">
      <c r="A72" s="110" t="s">
        <v>153</v>
      </c>
      <c r="B72" s="111"/>
      <c r="C72" s="111"/>
      <c r="D72" s="111"/>
      <c r="E72" s="111"/>
    </row>
    <row r="73" spans="1:10" ht="12.75">
      <c r="A73" s="111" t="s">
        <v>68</v>
      </c>
      <c r="B73" s="111"/>
      <c r="C73" s="111"/>
      <c r="D73" s="111"/>
      <c r="E73" s="111"/>
      <c r="J73" s="322"/>
    </row>
    <row r="74" spans="1:11" ht="12.75">
      <c r="A74" s="116" t="s">
        <v>66</v>
      </c>
      <c r="B74" s="111" t="s">
        <v>167</v>
      </c>
      <c r="C74" s="111"/>
      <c r="D74" s="111"/>
      <c r="E74" s="111"/>
      <c r="J74" s="313">
        <f>ROUND(J7,3)</f>
        <v>0.1</v>
      </c>
      <c r="K74" s="4" t="s">
        <v>54</v>
      </c>
    </row>
    <row r="75" spans="1:11" ht="12.75">
      <c r="A75" s="116" t="s">
        <v>66</v>
      </c>
      <c r="B75" s="111" t="s">
        <v>166</v>
      </c>
      <c r="C75" s="111"/>
      <c r="D75" s="111"/>
      <c r="E75" s="111"/>
      <c r="J75" s="313">
        <f>ROUND(J14,3)</f>
        <v>0.07</v>
      </c>
      <c r="K75" s="4" t="s">
        <v>54</v>
      </c>
    </row>
    <row r="76" spans="1:5" ht="12.75">
      <c r="A76" s="111" t="s">
        <v>69</v>
      </c>
      <c r="B76" s="111"/>
      <c r="C76" s="111"/>
      <c r="D76" s="111"/>
      <c r="E76" s="111"/>
    </row>
    <row r="77" spans="1:11" ht="12.75">
      <c r="A77" s="113"/>
      <c r="B77" s="114"/>
      <c r="C77" s="113">
        <f>J9</f>
        <v>0.33</v>
      </c>
      <c r="D77" s="111" t="str">
        <f>K9&amp;" /  ( "</f>
        <v>Euro/Sm3 /  ( </v>
      </c>
      <c r="E77" s="319">
        <f>J10</f>
        <v>9.59</v>
      </c>
      <c r="F77" s="319" t="str">
        <f>K10&amp;" x "</f>
        <v>kWh/Sm3 x </v>
      </c>
      <c r="G77" s="320">
        <f>J11</f>
        <v>0.88</v>
      </c>
      <c r="H77" s="321" t="s">
        <v>313</v>
      </c>
      <c r="I77" s="341" t="s">
        <v>28</v>
      </c>
      <c r="J77" s="322">
        <f>ROUND(C77/(E77*G77),3)</f>
        <v>0.039</v>
      </c>
      <c r="K77" s="4" t="s">
        <v>323</v>
      </c>
    </row>
    <row r="78" spans="1:11" ht="12.75">
      <c r="A78" s="354" t="s">
        <v>321</v>
      </c>
      <c r="B78" s="354"/>
      <c r="C78" s="354"/>
      <c r="D78" s="354"/>
      <c r="E78" s="354"/>
      <c r="F78" s="354"/>
      <c r="G78" s="354"/>
      <c r="H78" s="354"/>
      <c r="I78" s="354"/>
      <c r="J78" s="354"/>
      <c r="K78" s="354"/>
    </row>
    <row r="79" spans="1:11" ht="12.75">
      <c r="A79" s="354"/>
      <c r="B79" s="354"/>
      <c r="C79" s="354"/>
      <c r="D79" s="354"/>
      <c r="E79" s="354"/>
      <c r="F79" s="354"/>
      <c r="G79" s="354"/>
      <c r="H79" s="354"/>
      <c r="I79" s="354"/>
      <c r="J79" s="354"/>
      <c r="K79" s="354"/>
    </row>
    <row r="80" spans="1:11" ht="12.75">
      <c r="A80" s="111"/>
      <c r="B80" s="316" t="s">
        <v>314</v>
      </c>
      <c r="C80" s="325">
        <f>J77</f>
        <v>0.039</v>
      </c>
      <c r="D80" s="111" t="str">
        <f>K77&amp;" x "</f>
        <v>Euro/kWht x </v>
      </c>
      <c r="F80" s="323">
        <f>J32</f>
        <v>0.44</v>
      </c>
      <c r="G80" s="324" t="s">
        <v>287</v>
      </c>
      <c r="H80" s="328">
        <f>J31</f>
        <v>0.4</v>
      </c>
      <c r="I80" s="341" t="s">
        <v>28</v>
      </c>
      <c r="J80" s="313">
        <f>ROUND(C80*F80/H80,3)</f>
        <v>0.043</v>
      </c>
      <c r="K80" s="4" t="s">
        <v>324</v>
      </c>
    </row>
    <row r="81" spans="1:11" ht="12.75">
      <c r="A81" s="354"/>
      <c r="B81" s="354"/>
      <c r="C81" s="354"/>
      <c r="D81" s="354"/>
      <c r="E81" s="354"/>
      <c r="F81" s="354"/>
      <c r="G81" s="354"/>
      <c r="H81" s="354"/>
      <c r="I81" s="354"/>
      <c r="J81" s="354"/>
      <c r="K81" s="354"/>
    </row>
    <row r="82" spans="1:11" ht="12.75">
      <c r="A82" s="354" t="s">
        <v>208</v>
      </c>
      <c r="B82" s="354"/>
      <c r="C82" s="354"/>
      <c r="D82" s="354"/>
      <c r="E82" s="354"/>
      <c r="F82" s="354"/>
      <c r="G82" s="354"/>
      <c r="H82" s="354"/>
      <c r="I82" s="354"/>
      <c r="J82" s="354"/>
      <c r="K82" s="354"/>
    </row>
    <row r="83" spans="1:11" ht="12.75">
      <c r="A83" s="116" t="s">
        <v>66</v>
      </c>
      <c r="B83" s="111" t="s">
        <v>209</v>
      </c>
      <c r="C83" s="111"/>
      <c r="D83" s="112"/>
      <c r="E83" s="112"/>
      <c r="F83" s="112"/>
      <c r="G83" s="112"/>
      <c r="H83" s="112"/>
      <c r="J83" s="112"/>
      <c r="K83" s="112"/>
    </row>
    <row r="84" spans="1:11" ht="12.75">
      <c r="A84" s="116" t="s">
        <v>66</v>
      </c>
      <c r="B84" s="111" t="s">
        <v>210</v>
      </c>
      <c r="C84" s="111"/>
      <c r="D84" s="112"/>
      <c r="E84" s="112"/>
      <c r="F84" s="112"/>
      <c r="G84" s="112"/>
      <c r="H84" s="112"/>
      <c r="J84" s="112"/>
      <c r="K84" s="112"/>
    </row>
    <row r="85" spans="1:11" ht="12.75">
      <c r="A85" s="354" t="s">
        <v>211</v>
      </c>
      <c r="B85" s="354"/>
      <c r="C85" s="354"/>
      <c r="D85" s="354"/>
      <c r="E85" s="354"/>
      <c r="F85" s="354"/>
      <c r="G85" s="354"/>
      <c r="H85" s="354"/>
      <c r="I85" s="354"/>
      <c r="J85" s="354"/>
      <c r="K85" s="354"/>
    </row>
    <row r="86" spans="1:11" ht="12.75">
      <c r="A86" s="354" t="s">
        <v>207</v>
      </c>
      <c r="B86" s="354"/>
      <c r="C86" s="354"/>
      <c r="D86" s="354"/>
      <c r="E86" s="354"/>
      <c r="F86" s="354"/>
      <c r="G86" s="354"/>
      <c r="H86" s="354"/>
      <c r="I86" s="354"/>
      <c r="J86" s="354"/>
      <c r="K86" s="354"/>
    </row>
    <row r="87" spans="1:11" ht="12.75">
      <c r="A87" s="354"/>
      <c r="B87" s="354"/>
      <c r="C87" s="354"/>
      <c r="D87" s="354"/>
      <c r="E87" s="354"/>
      <c r="F87" s="354"/>
      <c r="G87" s="354"/>
      <c r="H87" s="354"/>
      <c r="I87" s="354"/>
      <c r="J87" s="354"/>
      <c r="K87" s="354"/>
    </row>
    <row r="88" spans="1:11" ht="12.75">
      <c r="A88" s="116" t="s">
        <v>66</v>
      </c>
      <c r="B88" s="114" t="s">
        <v>329</v>
      </c>
      <c r="F88" s="326">
        <f>J74</f>
        <v>0.1</v>
      </c>
      <c r="G88" s="113" t="s">
        <v>27</v>
      </c>
      <c r="H88" s="325">
        <f>J$80</f>
        <v>0.043</v>
      </c>
      <c r="I88" s="341" t="s">
        <v>28</v>
      </c>
      <c r="J88" s="313">
        <f>F88+H88</f>
        <v>0.14300000000000002</v>
      </c>
      <c r="K88" s="4" t="s">
        <v>324</v>
      </c>
    </row>
    <row r="89" spans="1:11" ht="12.75">
      <c r="A89" s="116" t="s">
        <v>66</v>
      </c>
      <c r="B89" s="114" t="s">
        <v>330</v>
      </c>
      <c r="F89" s="326">
        <f>J75</f>
        <v>0.07</v>
      </c>
      <c r="G89" s="113" t="s">
        <v>27</v>
      </c>
      <c r="H89" s="325">
        <f>J$80</f>
        <v>0.043</v>
      </c>
      <c r="I89" s="341" t="s">
        <v>28</v>
      </c>
      <c r="J89" s="313">
        <f>F89+H89</f>
        <v>0.113</v>
      </c>
      <c r="K89" s="4" t="s">
        <v>324</v>
      </c>
    </row>
    <row r="90" spans="1:5" ht="12.75">
      <c r="A90" s="111" t="s">
        <v>315</v>
      </c>
      <c r="B90" s="111"/>
      <c r="C90" s="111"/>
      <c r="D90" s="111"/>
      <c r="E90" s="111"/>
    </row>
    <row r="91" spans="1:11" ht="12.75">
      <c r="A91" s="355" t="s">
        <v>316</v>
      </c>
      <c r="B91" s="354"/>
      <c r="C91" s="354"/>
      <c r="D91" s="354"/>
      <c r="E91" s="354"/>
      <c r="F91" s="354"/>
      <c r="G91" s="354"/>
      <c r="H91" s="354"/>
      <c r="I91" s="354"/>
      <c r="J91" s="354"/>
      <c r="K91" s="354"/>
    </row>
    <row r="92" spans="1:11" ht="12.75">
      <c r="A92" s="354"/>
      <c r="B92" s="354"/>
      <c r="C92" s="354"/>
      <c r="D92" s="354"/>
      <c r="E92" s="354"/>
      <c r="F92" s="354"/>
      <c r="G92" s="354"/>
      <c r="H92" s="354"/>
      <c r="I92" s="354"/>
      <c r="J92" s="354"/>
      <c r="K92" s="354"/>
    </row>
    <row r="93" spans="1:11" ht="12.75" customHeight="1">
      <c r="A93" s="355" t="s">
        <v>317</v>
      </c>
      <c r="B93" s="354"/>
      <c r="C93" s="354"/>
      <c r="D93" s="354"/>
      <c r="E93" s="354"/>
      <c r="F93" s="354"/>
      <c r="G93" s="354"/>
      <c r="H93" s="354"/>
      <c r="I93" s="354"/>
      <c r="J93" s="354"/>
      <c r="K93" s="354"/>
    </row>
    <row r="94" spans="1:11" ht="12.75">
      <c r="A94" s="354"/>
      <c r="B94" s="354"/>
      <c r="C94" s="354"/>
      <c r="D94" s="354"/>
      <c r="E94" s="354"/>
      <c r="F94" s="354"/>
      <c r="G94" s="354"/>
      <c r="H94" s="354"/>
      <c r="I94" s="354"/>
      <c r="J94" s="354"/>
      <c r="K94" s="354"/>
    </row>
    <row r="95" spans="1:11" ht="12.75">
      <c r="A95" s="355" t="s">
        <v>318</v>
      </c>
      <c r="B95" s="354"/>
      <c r="C95" s="354"/>
      <c r="D95" s="354"/>
      <c r="E95" s="354"/>
      <c r="F95" s="354"/>
      <c r="G95" s="354"/>
      <c r="H95" s="354"/>
      <c r="I95" s="354"/>
      <c r="J95" s="354"/>
      <c r="K95" s="354"/>
    </row>
    <row r="96" spans="1:11" ht="12.75">
      <c r="A96" s="354"/>
      <c r="B96" s="354"/>
      <c r="C96" s="354"/>
      <c r="D96" s="354"/>
      <c r="E96" s="354"/>
      <c r="F96" s="354"/>
      <c r="G96" s="354"/>
      <c r="H96" s="354"/>
      <c r="I96" s="354"/>
      <c r="J96" s="354"/>
      <c r="K96" s="354"/>
    </row>
    <row r="97" spans="1:15" ht="12.75">
      <c r="A97" s="116"/>
      <c r="B97" s="316" t="s">
        <v>319</v>
      </c>
      <c r="C97" s="313">
        <f>J7</f>
        <v>0.1</v>
      </c>
      <c r="D97" s="4" t="s">
        <v>54</v>
      </c>
      <c r="E97" s="4" t="s">
        <v>133</v>
      </c>
      <c r="O97" s="111"/>
    </row>
    <row r="98" spans="1:15" ht="12.75">
      <c r="A98" s="116"/>
      <c r="B98" s="316" t="s">
        <v>320</v>
      </c>
      <c r="C98" s="313">
        <f>J14</f>
        <v>0.07</v>
      </c>
      <c r="D98" s="4" t="s">
        <v>54</v>
      </c>
      <c r="E98" s="4" t="s">
        <v>134</v>
      </c>
      <c r="O98" s="111"/>
    </row>
    <row r="99" spans="1:5" ht="12.75">
      <c r="A99" s="111" t="s">
        <v>212</v>
      </c>
      <c r="B99" s="111"/>
      <c r="C99" s="111"/>
      <c r="D99" s="111"/>
      <c r="E99" s="111"/>
    </row>
    <row r="100" spans="1:11" ht="12.75">
      <c r="A100" s="112"/>
      <c r="B100" s="112"/>
      <c r="C100" s="112"/>
      <c r="D100" s="112"/>
      <c r="E100" s="112"/>
      <c r="F100" s="112"/>
      <c r="G100" s="112"/>
      <c r="H100" s="112"/>
      <c r="J100" s="112"/>
      <c r="K100" s="112"/>
    </row>
    <row r="101" spans="1:11" s="346" customFormat="1" ht="12.75">
      <c r="A101" s="345" t="s">
        <v>213</v>
      </c>
      <c r="B101" s="118"/>
      <c r="C101" s="118"/>
      <c r="D101" s="118"/>
      <c r="E101" s="118"/>
      <c r="F101" s="118"/>
      <c r="G101" s="118"/>
      <c r="H101" s="118"/>
      <c r="I101" s="341"/>
      <c r="J101" s="118"/>
      <c r="K101" s="118"/>
    </row>
    <row r="102" spans="1:11" ht="12.75">
      <c r="A102" s="354" t="s">
        <v>279</v>
      </c>
      <c r="B102" s="354"/>
      <c r="C102" s="354"/>
      <c r="D102" s="354"/>
      <c r="E102" s="354"/>
      <c r="F102" s="354"/>
      <c r="G102" s="354"/>
      <c r="H102" s="354"/>
      <c r="I102" s="354"/>
      <c r="J102" s="354"/>
      <c r="K102" s="354"/>
    </row>
    <row r="103" spans="1:11" ht="12.75">
      <c r="A103" s="354"/>
      <c r="B103" s="354"/>
      <c r="C103" s="354"/>
      <c r="D103" s="354"/>
      <c r="E103" s="354"/>
      <c r="F103" s="354"/>
      <c r="G103" s="354"/>
      <c r="H103" s="354"/>
      <c r="I103" s="354"/>
      <c r="J103" s="354"/>
      <c r="K103" s="354"/>
    </row>
    <row r="104" spans="1:11" ht="12.75">
      <c r="A104" s="354" t="s">
        <v>214</v>
      </c>
      <c r="B104" s="354"/>
      <c r="C104" s="354"/>
      <c r="D104" s="354"/>
      <c r="E104" s="354"/>
      <c r="F104" s="354"/>
      <c r="G104" s="354"/>
      <c r="H104" s="354"/>
      <c r="I104" s="354"/>
      <c r="J104" s="354"/>
      <c r="K104" s="354"/>
    </row>
    <row r="105" spans="1:11" ht="12.75">
      <c r="A105" s="354"/>
      <c r="B105" s="354"/>
      <c r="C105" s="354"/>
      <c r="D105" s="354"/>
      <c r="E105" s="354"/>
      <c r="F105" s="354"/>
      <c r="G105" s="354"/>
      <c r="H105" s="354"/>
      <c r="I105" s="354"/>
      <c r="J105" s="354"/>
      <c r="K105" s="354"/>
    </row>
    <row r="106" spans="1:11" ht="12.75">
      <c r="A106" s="354" t="s">
        <v>280</v>
      </c>
      <c r="B106" s="354"/>
      <c r="C106" s="354"/>
      <c r="D106" s="354"/>
      <c r="E106" s="354"/>
      <c r="F106" s="354"/>
      <c r="G106" s="354"/>
      <c r="H106" s="354"/>
      <c r="I106" s="354"/>
      <c r="J106" s="354"/>
      <c r="K106" s="354"/>
    </row>
    <row r="107" spans="1:11" ht="12.75">
      <c r="A107" s="112"/>
      <c r="B107" s="112"/>
      <c r="C107" s="112"/>
      <c r="D107" s="112"/>
      <c r="E107" s="112"/>
      <c r="F107" s="112"/>
      <c r="G107" s="112"/>
      <c r="H107" s="112"/>
      <c r="J107" s="112"/>
      <c r="K107" s="112"/>
    </row>
    <row r="108" spans="1:16" ht="12.75">
      <c r="A108" s="225" t="s">
        <v>215</v>
      </c>
      <c r="B108" s="112"/>
      <c r="C108" s="112"/>
      <c r="D108" s="112"/>
      <c r="E108" s="112"/>
      <c r="F108" s="112"/>
      <c r="G108" s="112"/>
      <c r="H108" s="112"/>
      <c r="J108" s="112"/>
      <c r="K108" s="112"/>
      <c r="M108" s="347" t="s">
        <v>188</v>
      </c>
      <c r="N108" s="347" t="s">
        <v>74</v>
      </c>
      <c r="O108" s="347" t="s">
        <v>75</v>
      </c>
      <c r="P108" s="347" t="s">
        <v>76</v>
      </c>
    </row>
    <row r="109" spans="1:11" ht="12.75">
      <c r="A109" s="354" t="s">
        <v>216</v>
      </c>
      <c r="B109" s="354"/>
      <c r="C109" s="354"/>
      <c r="D109" s="354"/>
      <c r="E109" s="354"/>
      <c r="F109" s="354"/>
      <c r="G109" s="354"/>
      <c r="H109" s="354"/>
      <c r="I109" s="354"/>
      <c r="J109" s="354"/>
      <c r="K109" s="354"/>
    </row>
    <row r="110" spans="1:11" ht="12.75">
      <c r="A110" s="354"/>
      <c r="B110" s="354"/>
      <c r="C110" s="354"/>
      <c r="D110" s="354"/>
      <c r="E110" s="354"/>
      <c r="F110" s="354"/>
      <c r="G110" s="354"/>
      <c r="H110" s="354"/>
      <c r="I110" s="354"/>
      <c r="J110" s="354"/>
      <c r="K110" s="354"/>
    </row>
    <row r="111" spans="1:11" ht="12.75">
      <c r="A111" s="354"/>
      <c r="B111" s="354"/>
      <c r="C111" s="354"/>
      <c r="D111" s="354"/>
      <c r="E111" s="354"/>
      <c r="F111" s="354"/>
      <c r="G111" s="354"/>
      <c r="H111" s="354"/>
      <c r="I111" s="354"/>
      <c r="J111" s="354"/>
      <c r="K111" s="354"/>
    </row>
    <row r="112" spans="1:11" ht="12.75">
      <c r="A112" s="114" t="s">
        <v>221</v>
      </c>
      <c r="B112" s="112"/>
      <c r="C112" s="112"/>
      <c r="D112" s="112"/>
      <c r="E112" s="112"/>
      <c r="F112" s="112"/>
      <c r="G112" s="112"/>
      <c r="H112" s="112"/>
      <c r="J112" s="112"/>
      <c r="K112" s="112"/>
    </row>
    <row r="113" spans="1:11" ht="12.75">
      <c r="A113" s="114"/>
      <c r="B113" s="112"/>
      <c r="C113" s="112"/>
      <c r="D113" s="112"/>
      <c r="E113" s="112"/>
      <c r="F113" s="112"/>
      <c r="G113" s="112"/>
      <c r="H113" s="112"/>
      <c r="J113" s="112"/>
      <c r="K113" s="112"/>
    </row>
    <row r="114" spans="1:11" ht="12.75">
      <c r="A114" s="225" t="s">
        <v>199</v>
      </c>
      <c r="B114" s="112"/>
      <c r="C114" s="112"/>
      <c r="D114" s="112"/>
      <c r="E114" s="112"/>
      <c r="F114" s="112"/>
      <c r="G114" s="112"/>
      <c r="H114" s="112"/>
      <c r="J114" s="112"/>
      <c r="K114" s="112"/>
    </row>
    <row r="115" spans="1:11" ht="12.75">
      <c r="A115" s="355" t="s">
        <v>244</v>
      </c>
      <c r="B115" s="354"/>
      <c r="C115" s="354"/>
      <c r="D115" s="354"/>
      <c r="E115" s="354"/>
      <c r="F115" s="354"/>
      <c r="G115" s="354"/>
      <c r="H115" s="354"/>
      <c r="I115" s="354"/>
      <c r="J115" s="354"/>
      <c r="K115" s="354"/>
    </row>
    <row r="116" spans="1:11" ht="12.75">
      <c r="A116" s="354"/>
      <c r="B116" s="354"/>
      <c r="C116" s="354"/>
      <c r="D116" s="354"/>
      <c r="E116" s="354"/>
      <c r="F116" s="354"/>
      <c r="G116" s="354"/>
      <c r="H116" s="354"/>
      <c r="I116" s="354"/>
      <c r="J116" s="354"/>
      <c r="K116" s="354"/>
    </row>
    <row r="117" spans="1:11" ht="12.75">
      <c r="A117" s="354"/>
      <c r="B117" s="354"/>
      <c r="C117" s="354"/>
      <c r="D117" s="354"/>
      <c r="E117" s="354"/>
      <c r="F117" s="354"/>
      <c r="G117" s="354"/>
      <c r="H117" s="354"/>
      <c r="I117" s="354"/>
      <c r="J117" s="354"/>
      <c r="K117" s="354"/>
    </row>
    <row r="118" spans="1:16" ht="12.75">
      <c r="A118" s="111" t="s">
        <v>331</v>
      </c>
      <c r="B118" s="111" t="str">
        <f>"al "&amp;TEXT(CHOOSE(L118,N118,O118,P118)*100,"00")&amp;"% del carico per coprire i fabbisogni elettrici dell'utenza, evacuando la potenza termica in eccesso"</f>
        <v>al 100% del carico per coprire i fabbisogni elettrici dell'utenza, evacuando la potenza termica in eccesso</v>
      </c>
      <c r="C118" s="112"/>
      <c r="D118" s="112"/>
      <c r="E118" s="112"/>
      <c r="F118" s="112"/>
      <c r="G118" s="112"/>
      <c r="H118" s="112"/>
      <c r="I118" s="112"/>
      <c r="J118" s="112"/>
      <c r="K118" s="112"/>
      <c r="L118" s="4">
        <v>1</v>
      </c>
      <c r="M118" s="352">
        <v>3</v>
      </c>
      <c r="N118" s="353">
        <f>VLOOKUP($M118,Dbr,2)</f>
        <v>1</v>
      </c>
      <c r="O118" s="353">
        <f>VLOOKUP($M118,Dbr,3)</f>
        <v>0.9545454545454546</v>
      </c>
      <c r="P118" s="353">
        <f>VLOOKUP($M118,Dbr,4)</f>
        <v>1</v>
      </c>
    </row>
    <row r="119" spans="1:16" ht="12.75" customHeight="1">
      <c r="A119" s="329" t="s">
        <v>332</v>
      </c>
      <c r="B119" s="354" t="str">
        <f>"ad un carico "&amp;TEXT(CHOOSE(L119,N119,O119,P119)*100,"00")&amp;"%, tale da coprire esattamente i fabbisogni termici dell'utenza (di conseguenza, la produzione elettrica diviene però inferiore al fabbisogno dell'utenza)."</f>
        <v>ad un carico 95%, tale da coprire esattamente i fabbisogni termici dell'utenza (di conseguenza, la produzione elettrica diviene però inferiore al fabbisogno dell'utenza).</v>
      </c>
      <c r="C119" s="354"/>
      <c r="D119" s="354"/>
      <c r="E119" s="354"/>
      <c r="F119" s="354"/>
      <c r="G119" s="354"/>
      <c r="H119" s="354"/>
      <c r="I119" s="354"/>
      <c r="J119" s="354"/>
      <c r="K119" s="354"/>
      <c r="L119" s="4">
        <v>2</v>
      </c>
      <c r="M119" s="352">
        <v>3</v>
      </c>
      <c r="N119" s="353">
        <f>VLOOKUP($M119,Dbr,2)</f>
        <v>1</v>
      </c>
      <c r="O119" s="353">
        <f>VLOOKUP($M119,Dbr,3)</f>
        <v>0.9545454545454546</v>
      </c>
      <c r="P119" s="353">
        <f>VLOOKUP($M119,Dbr,4)</f>
        <v>1</v>
      </c>
    </row>
    <row r="120" spans="1:11" ht="12.75">
      <c r="A120" s="112"/>
      <c r="B120" s="354"/>
      <c r="C120" s="354"/>
      <c r="D120" s="354"/>
      <c r="E120" s="354"/>
      <c r="F120" s="354"/>
      <c r="G120" s="354"/>
      <c r="H120" s="354"/>
      <c r="I120" s="354"/>
      <c r="J120" s="354"/>
      <c r="K120" s="354"/>
    </row>
    <row r="121" spans="1:11" ht="12.75">
      <c r="A121" s="354" t="s">
        <v>245</v>
      </c>
      <c r="B121" s="354"/>
      <c r="C121" s="354"/>
      <c r="D121" s="354"/>
      <c r="E121" s="354"/>
      <c r="F121" s="354"/>
      <c r="G121" s="354"/>
      <c r="H121" s="354"/>
      <c r="I121" s="354"/>
      <c r="J121" s="354"/>
      <c r="K121" s="354"/>
    </row>
    <row r="122" spans="1:11" ht="12.75">
      <c r="A122" s="354"/>
      <c r="B122" s="354"/>
      <c r="C122" s="354"/>
      <c r="D122" s="354"/>
      <c r="E122" s="354"/>
      <c r="F122" s="354"/>
      <c r="G122" s="354"/>
      <c r="H122" s="354"/>
      <c r="I122" s="354"/>
      <c r="J122" s="354"/>
      <c r="K122" s="354"/>
    </row>
    <row r="123" spans="1:11" ht="12.75">
      <c r="A123" s="354" t="s">
        <v>246</v>
      </c>
      <c r="B123" s="354"/>
      <c r="C123" s="354"/>
      <c r="D123" s="354"/>
      <c r="E123" s="354"/>
      <c r="F123" s="354"/>
      <c r="G123" s="354"/>
      <c r="H123" s="354"/>
      <c r="I123" s="354"/>
      <c r="J123" s="354"/>
      <c r="K123" s="354"/>
    </row>
    <row r="124" spans="1:11" ht="12.75">
      <c r="A124" s="354"/>
      <c r="B124" s="354"/>
      <c r="C124" s="354"/>
      <c r="D124" s="354"/>
      <c r="E124" s="354"/>
      <c r="F124" s="354"/>
      <c r="G124" s="354"/>
      <c r="H124" s="354"/>
      <c r="I124" s="354"/>
      <c r="J124" s="354"/>
      <c r="K124" s="354"/>
    </row>
    <row r="125" spans="1:11" ht="12.75">
      <c r="A125" s="354"/>
      <c r="B125" s="354"/>
      <c r="C125" s="354"/>
      <c r="D125" s="354"/>
      <c r="E125" s="354"/>
      <c r="F125" s="354"/>
      <c r="G125" s="354"/>
      <c r="H125" s="354"/>
      <c r="I125" s="354"/>
      <c r="J125" s="354"/>
      <c r="K125" s="354"/>
    </row>
    <row r="126" spans="1:11" ht="12.75">
      <c r="A126" s="112"/>
      <c r="B126" s="112"/>
      <c r="C126" s="112"/>
      <c r="D126" s="112"/>
      <c r="E126" s="112"/>
      <c r="F126" s="112"/>
      <c r="G126" s="112"/>
      <c r="H126" s="112"/>
      <c r="J126" s="112"/>
      <c r="K126" s="112"/>
    </row>
    <row r="127" spans="1:11" ht="12.75">
      <c r="A127" s="225" t="s">
        <v>222</v>
      </c>
      <c r="B127" s="112"/>
      <c r="C127" s="112"/>
      <c r="D127" s="112"/>
      <c r="E127" s="112"/>
      <c r="F127" s="112"/>
      <c r="G127" s="112"/>
      <c r="H127" s="112"/>
      <c r="J127" s="112"/>
      <c r="K127" s="112"/>
    </row>
    <row r="128" spans="1:11" ht="12.75">
      <c r="A128" s="355" t="s">
        <v>247</v>
      </c>
      <c r="B128" s="354"/>
      <c r="C128" s="354"/>
      <c r="D128" s="354"/>
      <c r="E128" s="354"/>
      <c r="F128" s="354"/>
      <c r="G128" s="354"/>
      <c r="H128" s="354"/>
      <c r="I128" s="354"/>
      <c r="J128" s="354"/>
      <c r="K128" s="354"/>
    </row>
    <row r="129" spans="1:11" ht="12.75">
      <c r="A129" s="354"/>
      <c r="B129" s="354"/>
      <c r="C129" s="354"/>
      <c r="D129" s="354"/>
      <c r="E129" s="354"/>
      <c r="F129" s="354"/>
      <c r="G129" s="354"/>
      <c r="H129" s="354"/>
      <c r="I129" s="354"/>
      <c r="J129" s="354"/>
      <c r="K129" s="354"/>
    </row>
    <row r="130" spans="1:11" ht="12.75">
      <c r="A130" s="354"/>
      <c r="B130" s="354"/>
      <c r="C130" s="354"/>
      <c r="D130" s="354"/>
      <c r="E130" s="354"/>
      <c r="F130" s="354"/>
      <c r="G130" s="354"/>
      <c r="H130" s="354"/>
      <c r="I130" s="354"/>
      <c r="J130" s="354"/>
      <c r="K130" s="354"/>
    </row>
    <row r="131" spans="1:16" ht="12.75" customHeight="1">
      <c r="A131" s="329" t="s">
        <v>333</v>
      </c>
      <c r="B131" s="355" t="str">
        <f>"ad un carico ("&amp;TEXT(CHOOSE(L131,N131,O131,P131)*100,"00")&amp;"%) tale da coprire esattamente i fabbisogni elettrici dell'utenza; la potenza termica prodotta risulta però inferiore al fabbisogno di stabilimento"</f>
        <v>ad un carico (93%) tale da coprire esattamente i fabbisogni elettrici dell'utenza; la potenza termica prodotta risulta però inferiore al fabbisogno di stabilimento</v>
      </c>
      <c r="C131" s="355"/>
      <c r="D131" s="355"/>
      <c r="E131" s="355"/>
      <c r="F131" s="355"/>
      <c r="G131" s="355"/>
      <c r="H131" s="355"/>
      <c r="I131" s="355"/>
      <c r="J131" s="355"/>
      <c r="K131" s="355"/>
      <c r="L131" s="4">
        <v>1</v>
      </c>
      <c r="M131" s="352">
        <v>5</v>
      </c>
      <c r="N131" s="353">
        <f>VLOOKUP($M131,Dbr,2)</f>
        <v>0.93</v>
      </c>
      <c r="O131" s="353">
        <f>VLOOKUP($M131,Dbr,3)</f>
        <v>0.9636363636363636</v>
      </c>
      <c r="P131" s="353">
        <f>VLOOKUP($M131,Dbr,4)</f>
        <v>0.9636363636363636</v>
      </c>
    </row>
    <row r="132" spans="1:11" ht="12.75">
      <c r="A132" s="112"/>
      <c r="B132" s="355"/>
      <c r="C132" s="355"/>
      <c r="D132" s="355"/>
      <c r="E132" s="355"/>
      <c r="F132" s="355"/>
      <c r="G132" s="355"/>
      <c r="H132" s="355"/>
      <c r="I132" s="355"/>
      <c r="J132" s="355"/>
      <c r="K132" s="355"/>
    </row>
    <row r="133" spans="1:16" ht="12.75" customHeight="1">
      <c r="A133" s="329" t="s">
        <v>334</v>
      </c>
      <c r="B133" s="355" t="str">
        <f>"ad un carico ("&amp;TEXT(CHOOSE(L133,N133,O133,P133)*100,"00")&amp;"%), tale da coprire esattamente i fabbisogni termici dell'utenza (di conseguenza, la produzione elettrica diviene però superiore al fabbisogno dell'utenza e l'eccesso viene esportato sulla rete)"</f>
        <v>ad un carico (96%), tale da coprire esattamente i fabbisogni termici dell'utenza (di conseguenza, la produzione elettrica diviene però superiore al fabbisogno dell'utenza e l'eccesso viene esportato sulla rete)</v>
      </c>
      <c r="C133" s="355"/>
      <c r="D133" s="355"/>
      <c r="E133" s="355"/>
      <c r="F133" s="355"/>
      <c r="G133" s="355"/>
      <c r="H133" s="355"/>
      <c r="I133" s="355"/>
      <c r="J133" s="355"/>
      <c r="K133" s="355"/>
      <c r="L133" s="4">
        <v>2</v>
      </c>
      <c r="M133" s="352">
        <v>5</v>
      </c>
      <c r="N133" s="353">
        <f>VLOOKUP($M133,Dbr,2)</f>
        <v>0.93</v>
      </c>
      <c r="O133" s="353">
        <f>VLOOKUP($M133,Dbr,3)</f>
        <v>0.9636363636363636</v>
      </c>
      <c r="P133" s="353">
        <f>VLOOKUP($M133,Dbr,4)</f>
        <v>0.9636363636363636</v>
      </c>
    </row>
    <row r="134" spans="1:11" ht="12.75">
      <c r="A134" s="112"/>
      <c r="B134" s="355"/>
      <c r="C134" s="355"/>
      <c r="D134" s="355"/>
      <c r="E134" s="355"/>
      <c r="F134" s="355"/>
      <c r="G134" s="355"/>
      <c r="H134" s="355"/>
      <c r="I134" s="355"/>
      <c r="J134" s="355"/>
      <c r="K134" s="355"/>
    </row>
    <row r="135" spans="1:11" ht="12.75">
      <c r="A135" s="329" t="s">
        <v>335</v>
      </c>
      <c r="B135" s="354" t="str">
        <f>"a carico 100%, massimizzando l'energia elettrica prodotta e quindi anche quella in eccesso che viene esportata sulla rete. Nel contempo, una parte del calore cogenerato risulta in eccesso e viene evacuato, evento non presente in 5A e 5B."</f>
        <v>a carico 100%, massimizzando l'energia elettrica prodotta e quindi anche quella in eccesso che viene esportata sulla rete. Nel contempo, una parte del calore cogenerato risulta in eccesso e viene evacuato, evento non presente in 5A e 5B.</v>
      </c>
      <c r="C135" s="354"/>
      <c r="D135" s="354"/>
      <c r="E135" s="354"/>
      <c r="F135" s="354"/>
      <c r="G135" s="354"/>
      <c r="H135" s="354"/>
      <c r="I135" s="354"/>
      <c r="J135" s="354"/>
      <c r="K135" s="354"/>
    </row>
    <row r="136" spans="1:11" ht="12.75">
      <c r="A136" s="112"/>
      <c r="B136" s="354"/>
      <c r="C136" s="354"/>
      <c r="D136" s="354"/>
      <c r="E136" s="354"/>
      <c r="F136" s="354"/>
      <c r="G136" s="354"/>
      <c r="H136" s="354"/>
      <c r="I136" s="354"/>
      <c r="J136" s="354"/>
      <c r="K136" s="354"/>
    </row>
    <row r="137" spans="1:11" ht="12.75">
      <c r="A137" s="358" t="s">
        <v>336</v>
      </c>
      <c r="B137" s="359"/>
      <c r="C137" s="359"/>
      <c r="D137" s="359"/>
      <c r="E137" s="359"/>
      <c r="F137" s="359"/>
      <c r="G137" s="359"/>
      <c r="H137" s="359"/>
      <c r="I137" s="359"/>
      <c r="J137" s="359"/>
      <c r="K137" s="359"/>
    </row>
    <row r="138" spans="1:11" ht="12.75">
      <c r="A138" s="359"/>
      <c r="B138" s="359"/>
      <c r="C138" s="359"/>
      <c r="D138" s="359"/>
      <c r="E138" s="359"/>
      <c r="F138" s="359"/>
      <c r="G138" s="359"/>
      <c r="H138" s="359"/>
      <c r="I138" s="359"/>
      <c r="J138" s="359"/>
      <c r="K138" s="359"/>
    </row>
    <row r="139" spans="1:11" ht="12.75">
      <c r="A139" s="359"/>
      <c r="B139" s="359"/>
      <c r="C139" s="359"/>
      <c r="D139" s="359"/>
      <c r="E139" s="359"/>
      <c r="F139" s="359"/>
      <c r="G139" s="359"/>
      <c r="H139" s="359"/>
      <c r="I139" s="359"/>
      <c r="J139" s="359"/>
      <c r="K139" s="359"/>
    </row>
    <row r="140" spans="1:11" ht="12.75">
      <c r="A140" s="359"/>
      <c r="B140" s="359"/>
      <c r="C140" s="359"/>
      <c r="D140" s="359"/>
      <c r="E140" s="359"/>
      <c r="F140" s="359"/>
      <c r="G140" s="359"/>
      <c r="H140" s="359"/>
      <c r="I140" s="359"/>
      <c r="J140" s="359"/>
      <c r="K140" s="359"/>
    </row>
    <row r="141" spans="1:11" ht="12.75">
      <c r="A141" s="358" t="s">
        <v>225</v>
      </c>
      <c r="B141" s="359"/>
      <c r="C141" s="359"/>
      <c r="D141" s="359"/>
      <c r="E141" s="359"/>
      <c r="F141" s="359"/>
      <c r="G141" s="359"/>
      <c r="H141" s="359"/>
      <c r="I141" s="359"/>
      <c r="J141" s="359"/>
      <c r="K141" s="359"/>
    </row>
    <row r="142" spans="1:11" ht="12.75">
      <c r="A142" s="359"/>
      <c r="B142" s="359"/>
      <c r="C142" s="359"/>
      <c r="D142" s="359"/>
      <c r="E142" s="359"/>
      <c r="F142" s="359"/>
      <c r="G142" s="359"/>
      <c r="H142" s="359"/>
      <c r="I142" s="359"/>
      <c r="J142" s="359"/>
      <c r="K142" s="359"/>
    </row>
    <row r="143" spans="1:11" ht="12.75">
      <c r="A143" s="359"/>
      <c r="B143" s="359"/>
      <c r="C143" s="359"/>
      <c r="D143" s="359"/>
      <c r="E143" s="359"/>
      <c r="F143" s="359"/>
      <c r="G143" s="359"/>
      <c r="H143" s="359"/>
      <c r="I143" s="359"/>
      <c r="J143" s="359"/>
      <c r="K143" s="359"/>
    </row>
    <row r="144" spans="1:11" ht="12.75">
      <c r="A144" s="118"/>
      <c r="B144" s="118"/>
      <c r="C144" s="118"/>
      <c r="D144" s="118"/>
      <c r="E144" s="118"/>
      <c r="F144" s="118"/>
      <c r="G144" s="118"/>
      <c r="H144" s="118"/>
      <c r="J144" s="118"/>
      <c r="K144" s="118"/>
    </row>
    <row r="145" spans="1:11" ht="12.75">
      <c r="A145" s="225" t="s">
        <v>223</v>
      </c>
      <c r="B145" s="112"/>
      <c r="C145" s="112"/>
      <c r="D145" s="112"/>
      <c r="E145" s="112"/>
      <c r="F145" s="112"/>
      <c r="G145" s="112"/>
      <c r="H145" s="112"/>
      <c r="J145" s="112"/>
      <c r="K145" s="112"/>
    </row>
    <row r="146" spans="1:11" ht="12.75">
      <c r="A146" s="355" t="s">
        <v>240</v>
      </c>
      <c r="B146" s="354"/>
      <c r="C146" s="354"/>
      <c r="D146" s="354"/>
      <c r="E146" s="354"/>
      <c r="F146" s="354"/>
      <c r="G146" s="354"/>
      <c r="H146" s="354"/>
      <c r="I146" s="354"/>
      <c r="J146" s="354"/>
      <c r="K146" s="354"/>
    </row>
    <row r="147" spans="1:11" ht="12.75">
      <c r="A147" s="354"/>
      <c r="B147" s="354"/>
      <c r="C147" s="354"/>
      <c r="D147" s="354"/>
      <c r="E147" s="354"/>
      <c r="F147" s="354"/>
      <c r="G147" s="354"/>
      <c r="H147" s="354"/>
      <c r="I147" s="354"/>
      <c r="J147" s="354"/>
      <c r="K147" s="354"/>
    </row>
    <row r="148" spans="1:16" ht="12.75" customHeight="1">
      <c r="A148" s="329" t="s">
        <v>337</v>
      </c>
      <c r="B148" s="355" t="str">
        <f>"ad un carico ("&amp;TEXT(CHOOSE(L148,N148,O148,P148)*100,"00")&amp;"%) tale da coprire esattamente i fabbisogni elettrici dell'utenza. In questo caso, però (rispetto allla condizione 5), la potenza termica prodotta risulta superiore al fabbisogno di stabilimento ed una parte del calore viene evacuato"</f>
        <v>ad un carico (90%) tale da coprire esattamente i fabbisogni elettrici dell'utenza. In questo caso, però (rispetto allla condizione 5), la potenza termica prodotta risulta superiore al fabbisogno di stabilimento ed una parte del calore viene evacuato</v>
      </c>
      <c r="C148" s="355"/>
      <c r="D148" s="355"/>
      <c r="E148" s="355"/>
      <c r="F148" s="355"/>
      <c r="G148" s="355"/>
      <c r="H148" s="355"/>
      <c r="I148" s="355"/>
      <c r="J148" s="355"/>
      <c r="K148" s="355"/>
      <c r="L148" s="4">
        <v>1</v>
      </c>
      <c r="M148" s="352">
        <v>6</v>
      </c>
      <c r="N148" s="353">
        <f>VLOOKUP($M148,Dbr,2)</f>
        <v>0.9</v>
      </c>
      <c r="O148" s="353">
        <f>VLOOKUP($M148,Dbr,3)</f>
        <v>0.8636363636363636</v>
      </c>
      <c r="P148" s="353">
        <f>VLOOKUP($M148,Dbr,4)</f>
        <v>0.9</v>
      </c>
    </row>
    <row r="149" spans="1:11" ht="12.75">
      <c r="A149" s="112"/>
      <c r="B149" s="355"/>
      <c r="C149" s="355"/>
      <c r="D149" s="355"/>
      <c r="E149" s="355"/>
      <c r="F149" s="355"/>
      <c r="G149" s="355"/>
      <c r="H149" s="355"/>
      <c r="I149" s="355"/>
      <c r="J149" s="355"/>
      <c r="K149" s="355"/>
    </row>
    <row r="150" spans="1:11" ht="12.75">
      <c r="A150" s="112"/>
      <c r="B150" s="355"/>
      <c r="C150" s="355"/>
      <c r="D150" s="355"/>
      <c r="E150" s="355"/>
      <c r="F150" s="355"/>
      <c r="G150" s="355"/>
      <c r="H150" s="355"/>
      <c r="I150" s="355"/>
      <c r="J150" s="355"/>
      <c r="K150" s="355"/>
    </row>
    <row r="151" spans="1:16" ht="12.75" customHeight="1">
      <c r="A151" s="329" t="s">
        <v>338</v>
      </c>
      <c r="B151" s="355" t="str">
        <f>"ad un carico ("&amp;TEXT(CHOOSE(L151,N151,O151,P151)*100,"00")&amp;"%), tale da coprire esattamente i fabbisogni termici dell'utenza. Di conseguenza, però, la produzione elettrica diviene inferiore al fabbisogno dell'utenza e la differenza deve essere prelevata dalla rete."</f>
        <v>ad un carico (86%), tale da coprire esattamente i fabbisogni termici dell'utenza. Di conseguenza, però, la produzione elettrica diviene inferiore al fabbisogno dell'utenza e la differenza deve essere prelevata dalla rete.</v>
      </c>
      <c r="C151" s="355"/>
      <c r="D151" s="355"/>
      <c r="E151" s="355"/>
      <c r="F151" s="355"/>
      <c r="G151" s="355"/>
      <c r="H151" s="355"/>
      <c r="I151" s="355"/>
      <c r="J151" s="355"/>
      <c r="K151" s="355"/>
      <c r="L151" s="4">
        <v>2</v>
      </c>
      <c r="M151" s="352">
        <v>6</v>
      </c>
      <c r="N151" s="353">
        <f>VLOOKUP($M151,Dbr,2)</f>
        <v>0.9</v>
      </c>
      <c r="O151" s="353">
        <f>VLOOKUP($M151,Dbr,3)</f>
        <v>0.8636363636363636</v>
      </c>
      <c r="P151" s="353">
        <f>VLOOKUP($M151,Dbr,4)</f>
        <v>0.9</v>
      </c>
    </row>
    <row r="152" spans="1:11" ht="12.75">
      <c r="A152" s="112"/>
      <c r="B152" s="355"/>
      <c r="C152" s="355"/>
      <c r="D152" s="355"/>
      <c r="E152" s="355"/>
      <c r="F152" s="355"/>
      <c r="G152" s="355"/>
      <c r="H152" s="355"/>
      <c r="I152" s="355"/>
      <c r="J152" s="355"/>
      <c r="K152" s="355"/>
    </row>
    <row r="153" spans="1:11" ht="12.75" customHeight="1">
      <c r="A153" s="329" t="s">
        <v>339</v>
      </c>
      <c r="B153" s="355" t="s">
        <v>340</v>
      </c>
      <c r="C153" s="355"/>
      <c r="D153" s="355"/>
      <c r="E153" s="355"/>
      <c r="F153" s="355"/>
      <c r="G153" s="355"/>
      <c r="H153" s="355"/>
      <c r="I153" s="355"/>
      <c r="J153" s="355"/>
      <c r="K153" s="355"/>
    </row>
    <row r="154" spans="1:11" ht="12.75">
      <c r="A154" s="112"/>
      <c r="B154" s="355"/>
      <c r="C154" s="355"/>
      <c r="D154" s="355"/>
      <c r="E154" s="355"/>
      <c r="F154" s="355"/>
      <c r="G154" s="355"/>
      <c r="H154" s="355"/>
      <c r="I154" s="355"/>
      <c r="J154" s="355"/>
      <c r="K154" s="355"/>
    </row>
    <row r="155" spans="1:11" ht="12.75">
      <c r="A155" s="359" t="s">
        <v>228</v>
      </c>
      <c r="B155" s="359"/>
      <c r="C155" s="359"/>
      <c r="D155" s="359"/>
      <c r="E155" s="359"/>
      <c r="F155" s="359"/>
      <c r="G155" s="359"/>
      <c r="H155" s="359"/>
      <c r="I155" s="359"/>
      <c r="J155" s="359"/>
      <c r="K155" s="359"/>
    </row>
    <row r="156" spans="1:11" ht="12.75">
      <c r="A156" s="359"/>
      <c r="B156" s="359"/>
      <c r="C156" s="359"/>
      <c r="D156" s="359"/>
      <c r="E156" s="359"/>
      <c r="F156" s="359"/>
      <c r="G156" s="359"/>
      <c r="H156" s="359"/>
      <c r="I156" s="359"/>
      <c r="J156" s="359"/>
      <c r="K156" s="359"/>
    </row>
    <row r="157" spans="1:11" ht="12.75">
      <c r="A157" s="359"/>
      <c r="B157" s="359"/>
      <c r="C157" s="359"/>
      <c r="D157" s="359"/>
      <c r="E157" s="359"/>
      <c r="F157" s="359"/>
      <c r="G157" s="359"/>
      <c r="H157" s="359"/>
      <c r="I157" s="359"/>
      <c r="J157" s="359"/>
      <c r="K157" s="359"/>
    </row>
    <row r="158" spans="1:11" ht="12.75">
      <c r="A158" s="358" t="s">
        <v>242</v>
      </c>
      <c r="B158" s="359"/>
      <c r="C158" s="359"/>
      <c r="D158" s="359"/>
      <c r="E158" s="359"/>
      <c r="F158" s="359"/>
      <c r="G158" s="359"/>
      <c r="H158" s="359"/>
      <c r="I158" s="359"/>
      <c r="J158" s="359"/>
      <c r="K158" s="359"/>
    </row>
    <row r="159" spans="1:11" ht="12.75">
      <c r="A159" s="412" t="s">
        <v>241</v>
      </c>
      <c r="B159" s="359"/>
      <c r="C159" s="359"/>
      <c r="D159" s="359"/>
      <c r="E159" s="359"/>
      <c r="F159" s="359"/>
      <c r="G159" s="359"/>
      <c r="H159" s="359"/>
      <c r="I159" s="359"/>
      <c r="J159" s="359"/>
      <c r="K159" s="359"/>
    </row>
    <row r="160" spans="1:11" ht="12.75">
      <c r="A160" s="359"/>
      <c r="B160" s="359"/>
      <c r="C160" s="359"/>
      <c r="D160" s="359"/>
      <c r="E160" s="359"/>
      <c r="F160" s="359"/>
      <c r="G160" s="359"/>
      <c r="H160" s="359"/>
      <c r="I160" s="359"/>
      <c r="J160" s="359"/>
      <c r="K160" s="359"/>
    </row>
    <row r="161" spans="1:11" ht="12.75">
      <c r="A161" s="359"/>
      <c r="B161" s="359"/>
      <c r="C161" s="359"/>
      <c r="D161" s="359"/>
      <c r="E161" s="359"/>
      <c r="F161" s="359"/>
      <c r="G161" s="359"/>
      <c r="H161" s="359"/>
      <c r="I161" s="359"/>
      <c r="J161" s="359"/>
      <c r="K161" s="359"/>
    </row>
    <row r="162" spans="1:11" ht="12.75">
      <c r="A162" s="358" t="s">
        <v>243</v>
      </c>
      <c r="B162" s="359"/>
      <c r="C162" s="359"/>
      <c r="D162" s="359"/>
      <c r="E162" s="359"/>
      <c r="F162" s="359"/>
      <c r="G162" s="359"/>
      <c r="H162" s="359"/>
      <c r="I162" s="359"/>
      <c r="J162" s="359"/>
      <c r="K162" s="359"/>
    </row>
    <row r="163" spans="1:11" ht="12.75">
      <c r="A163" s="359"/>
      <c r="B163" s="359"/>
      <c r="C163" s="359"/>
      <c r="D163" s="359"/>
      <c r="E163" s="359"/>
      <c r="F163" s="359"/>
      <c r="G163" s="359"/>
      <c r="H163" s="359"/>
      <c r="I163" s="359"/>
      <c r="J163" s="359"/>
      <c r="K163" s="359"/>
    </row>
    <row r="164" spans="1:11" ht="12.75">
      <c r="A164" s="358" t="s">
        <v>229</v>
      </c>
      <c r="B164" s="359"/>
      <c r="C164" s="359"/>
      <c r="D164" s="359"/>
      <c r="E164" s="359"/>
      <c r="F164" s="359"/>
      <c r="G164" s="359"/>
      <c r="H164" s="359"/>
      <c r="I164" s="359"/>
      <c r="J164" s="359"/>
      <c r="K164" s="359"/>
    </row>
    <row r="165" spans="1:11" ht="12.75">
      <c r="A165" s="235"/>
      <c r="B165" s="118"/>
      <c r="C165" s="118"/>
      <c r="D165" s="118"/>
      <c r="E165" s="118"/>
      <c r="F165" s="118"/>
      <c r="G165" s="118"/>
      <c r="H165" s="118"/>
      <c r="J165" s="118"/>
      <c r="K165" s="118"/>
    </row>
    <row r="166" spans="1:11" ht="12.75">
      <c r="A166" s="271" t="s">
        <v>224</v>
      </c>
      <c r="B166" s="118"/>
      <c r="C166" s="118"/>
      <c r="D166" s="118"/>
      <c r="E166" s="118"/>
      <c r="F166" s="118"/>
      <c r="G166" s="118"/>
      <c r="H166" s="118"/>
      <c r="J166" s="118"/>
      <c r="K166" s="118"/>
    </row>
    <row r="167" spans="1:11" ht="12.75">
      <c r="A167" s="356" t="s">
        <v>248</v>
      </c>
      <c r="B167" s="357"/>
      <c r="C167" s="357"/>
      <c r="D167" s="357"/>
      <c r="E167" s="357"/>
      <c r="F167" s="357"/>
      <c r="G167" s="357"/>
      <c r="H167" s="357"/>
      <c r="I167" s="357"/>
      <c r="J167" s="357"/>
      <c r="K167" s="357"/>
    </row>
    <row r="168" spans="1:11" ht="12.75">
      <c r="A168" s="357"/>
      <c r="B168" s="357"/>
      <c r="C168" s="357"/>
      <c r="D168" s="357"/>
      <c r="E168" s="357"/>
      <c r="F168" s="357"/>
      <c r="G168" s="357"/>
      <c r="H168" s="357"/>
      <c r="I168" s="357"/>
      <c r="J168" s="357"/>
      <c r="K168" s="357"/>
    </row>
    <row r="169" spans="1:11" ht="12.75">
      <c r="A169" s="357"/>
      <c r="B169" s="357"/>
      <c r="C169" s="357"/>
      <c r="D169" s="357"/>
      <c r="E169" s="357"/>
      <c r="F169" s="357"/>
      <c r="G169" s="357"/>
      <c r="H169" s="357"/>
      <c r="I169" s="357"/>
      <c r="J169" s="357"/>
      <c r="K169" s="357"/>
    </row>
    <row r="170" spans="1:11" ht="12.75">
      <c r="A170" s="357"/>
      <c r="B170" s="357"/>
      <c r="C170" s="357"/>
      <c r="D170" s="357"/>
      <c r="E170" s="357"/>
      <c r="F170" s="357"/>
      <c r="G170" s="357"/>
      <c r="H170" s="357"/>
      <c r="I170" s="357"/>
      <c r="J170" s="357"/>
      <c r="K170" s="357"/>
    </row>
    <row r="171" spans="1:11" ht="12.75">
      <c r="A171" s="363" t="s">
        <v>0</v>
      </c>
      <c r="B171" s="357"/>
      <c r="C171" s="357"/>
      <c r="D171" s="357"/>
      <c r="E171" s="357"/>
      <c r="F171" s="357"/>
      <c r="G171" s="357"/>
      <c r="H171" s="357"/>
      <c r="I171" s="357"/>
      <c r="J171" s="357"/>
      <c r="K171" s="357"/>
    </row>
    <row r="172" spans="1:11" ht="12.75">
      <c r="A172" s="357"/>
      <c r="B172" s="357"/>
      <c r="C172" s="357"/>
      <c r="D172" s="357"/>
      <c r="E172" s="357"/>
      <c r="F172" s="357"/>
      <c r="G172" s="357"/>
      <c r="H172" s="357"/>
      <c r="I172" s="357"/>
      <c r="J172" s="357"/>
      <c r="K172" s="357"/>
    </row>
    <row r="173" spans="1:11" ht="12.75">
      <c r="A173" s="357"/>
      <c r="B173" s="357"/>
      <c r="C173" s="357"/>
      <c r="D173" s="357"/>
      <c r="E173" s="357"/>
      <c r="F173" s="357"/>
      <c r="G173" s="357"/>
      <c r="H173" s="357"/>
      <c r="I173" s="357"/>
      <c r="J173" s="357"/>
      <c r="K173" s="357"/>
    </row>
    <row r="174" spans="1:11" ht="12.75">
      <c r="A174" s="357"/>
      <c r="B174" s="357"/>
      <c r="C174" s="357"/>
      <c r="D174" s="357"/>
      <c r="E174" s="357"/>
      <c r="F174" s="357"/>
      <c r="G174" s="357"/>
      <c r="H174" s="357"/>
      <c r="I174" s="357"/>
      <c r="J174" s="357"/>
      <c r="K174" s="357"/>
    </row>
    <row r="175" spans="1:11" ht="12.75">
      <c r="A175" s="357" t="s">
        <v>1</v>
      </c>
      <c r="B175" s="357"/>
      <c r="C175" s="357"/>
      <c r="D175" s="357"/>
      <c r="E175" s="357"/>
      <c r="F175" s="357"/>
      <c r="G175" s="357"/>
      <c r="H175" s="357"/>
      <c r="I175" s="357"/>
      <c r="J175" s="357"/>
      <c r="K175" s="357"/>
    </row>
    <row r="176" spans="1:11" ht="12.75">
      <c r="A176" s="357"/>
      <c r="B176" s="357"/>
      <c r="C176" s="357"/>
      <c r="D176" s="357"/>
      <c r="E176" s="357"/>
      <c r="F176" s="357"/>
      <c r="G176" s="357"/>
      <c r="H176" s="357"/>
      <c r="I176" s="357"/>
      <c r="J176" s="357"/>
      <c r="K176" s="357"/>
    </row>
    <row r="177" spans="1:11" ht="12.75">
      <c r="A177" s="357"/>
      <c r="B177" s="357"/>
      <c r="C177" s="357"/>
      <c r="D177" s="357"/>
      <c r="E177" s="357"/>
      <c r="F177" s="357"/>
      <c r="G177" s="357"/>
      <c r="H177" s="357"/>
      <c r="I177" s="357"/>
      <c r="J177" s="357"/>
      <c r="K177" s="357"/>
    </row>
    <row r="178" spans="1:11" ht="12.75">
      <c r="A178" s="357"/>
      <c r="B178" s="357"/>
      <c r="C178" s="357"/>
      <c r="D178" s="357"/>
      <c r="E178" s="357"/>
      <c r="F178" s="357"/>
      <c r="G178" s="357"/>
      <c r="H178" s="357"/>
      <c r="I178" s="357"/>
      <c r="J178" s="357"/>
      <c r="K178" s="357"/>
    </row>
    <row r="179" spans="1:11" ht="12.75">
      <c r="A179" s="357" t="s">
        <v>2</v>
      </c>
      <c r="B179" s="357"/>
      <c r="C179" s="357"/>
      <c r="D179" s="357"/>
      <c r="E179" s="357"/>
      <c r="F179" s="357"/>
      <c r="G179" s="357"/>
      <c r="H179" s="357"/>
      <c r="I179" s="357"/>
      <c r="J179" s="357"/>
      <c r="K179" s="357"/>
    </row>
    <row r="180" spans="1:11" ht="12.75">
      <c r="A180" s="357"/>
      <c r="B180" s="357"/>
      <c r="C180" s="357"/>
      <c r="D180" s="357"/>
      <c r="E180" s="357"/>
      <c r="F180" s="357"/>
      <c r="G180" s="357"/>
      <c r="H180" s="357"/>
      <c r="I180" s="357"/>
      <c r="J180" s="357"/>
      <c r="K180" s="357"/>
    </row>
    <row r="181" spans="1:11" ht="12.75">
      <c r="A181" s="118"/>
      <c r="B181" s="118"/>
      <c r="C181" s="118"/>
      <c r="D181" s="118"/>
      <c r="E181" s="118"/>
      <c r="F181" s="118"/>
      <c r="G181" s="118"/>
      <c r="H181" s="118"/>
      <c r="I181" s="342"/>
      <c r="J181" s="118"/>
      <c r="K181" s="118"/>
    </row>
    <row r="182" spans="1:11" ht="12.75">
      <c r="A182" s="271" t="s">
        <v>239</v>
      </c>
      <c r="B182" s="118"/>
      <c r="C182" s="118"/>
      <c r="D182" s="118"/>
      <c r="E182" s="118"/>
      <c r="F182" s="118"/>
      <c r="G182" s="118"/>
      <c r="H182" s="118"/>
      <c r="I182" s="342"/>
      <c r="J182" s="118"/>
      <c r="K182" s="118"/>
    </row>
    <row r="183" spans="1:11" ht="12.75">
      <c r="A183" s="356" t="s">
        <v>341</v>
      </c>
      <c r="B183" s="357"/>
      <c r="C183" s="357"/>
      <c r="D183" s="357"/>
      <c r="E183" s="357"/>
      <c r="F183" s="357"/>
      <c r="G183" s="357"/>
      <c r="H183" s="357"/>
      <c r="I183" s="357"/>
      <c r="J183" s="357"/>
      <c r="K183" s="357"/>
    </row>
    <row r="184" spans="1:11" ht="12.75">
      <c r="A184" s="357"/>
      <c r="B184" s="357"/>
      <c r="C184" s="357"/>
      <c r="D184" s="357"/>
      <c r="E184" s="357"/>
      <c r="F184" s="357"/>
      <c r="G184" s="357"/>
      <c r="H184" s="357"/>
      <c r="I184" s="357"/>
      <c r="J184" s="357"/>
      <c r="K184" s="357"/>
    </row>
    <row r="185" spans="1:11" ht="12.75">
      <c r="A185" s="357"/>
      <c r="B185" s="357"/>
      <c r="C185" s="357"/>
      <c r="D185" s="357"/>
      <c r="E185" s="357"/>
      <c r="F185" s="357"/>
      <c r="G185" s="357"/>
      <c r="H185" s="357"/>
      <c r="I185" s="357"/>
      <c r="J185" s="357"/>
      <c r="K185" s="357"/>
    </row>
    <row r="186" spans="1:11" ht="12.75">
      <c r="A186" s="118"/>
      <c r="B186" s="118"/>
      <c r="C186" s="118"/>
      <c r="D186" s="118"/>
      <c r="E186" s="118"/>
      <c r="F186" s="118"/>
      <c r="G186" s="118"/>
      <c r="H186" s="118"/>
      <c r="I186" s="342"/>
      <c r="J186" s="118"/>
      <c r="K186" s="118"/>
    </row>
    <row r="187" spans="1:11" ht="12.75">
      <c r="A187" s="360"/>
      <c r="B187" s="360"/>
      <c r="C187" s="360"/>
      <c r="D187" s="360"/>
      <c r="E187" s="360"/>
      <c r="F187" s="360"/>
      <c r="G187" s="360"/>
      <c r="H187" s="360"/>
      <c r="I187" s="360"/>
      <c r="J187" s="360"/>
      <c r="K187" s="360"/>
    </row>
    <row r="188" spans="1:9" s="8" customFormat="1" ht="12.75">
      <c r="A188" s="110" t="s">
        <v>60</v>
      </c>
      <c r="B188" s="228"/>
      <c r="C188" s="228"/>
      <c r="D188" s="228"/>
      <c r="E188" s="228"/>
      <c r="I188" s="343"/>
    </row>
    <row r="189" spans="1:9" s="8" customFormat="1" ht="12.75">
      <c r="A189" s="228"/>
      <c r="B189" s="228"/>
      <c r="C189" s="228"/>
      <c r="D189" s="228"/>
      <c r="E189" s="228"/>
      <c r="I189" s="343"/>
    </row>
    <row r="190" spans="1:9" s="8" customFormat="1" ht="12.75">
      <c r="A190" s="110" t="s">
        <v>61</v>
      </c>
      <c r="B190" s="228"/>
      <c r="C190" s="228"/>
      <c r="D190" s="228"/>
      <c r="E190" s="228"/>
      <c r="I190" s="343"/>
    </row>
    <row r="191" spans="1:11" s="8" customFormat="1" ht="12.75">
      <c r="A191" s="364" t="s">
        <v>275</v>
      </c>
      <c r="B191" s="362"/>
      <c r="C191" s="362"/>
      <c r="D191" s="362"/>
      <c r="E191" s="362"/>
      <c r="F191" s="362"/>
      <c r="G191" s="362"/>
      <c r="H191" s="362"/>
      <c r="I191" s="362"/>
      <c r="J191" s="362"/>
      <c r="K191" s="362"/>
    </row>
    <row r="192" spans="1:11" s="8" customFormat="1" ht="12.75">
      <c r="A192" s="364"/>
      <c r="B192" s="362"/>
      <c r="C192" s="362"/>
      <c r="D192" s="362"/>
      <c r="E192" s="362"/>
      <c r="F192" s="362"/>
      <c r="G192" s="362"/>
      <c r="H192" s="362"/>
      <c r="I192" s="362"/>
      <c r="J192" s="362"/>
      <c r="K192" s="362"/>
    </row>
    <row r="193" spans="1:11" s="8" customFormat="1" ht="12.75">
      <c r="A193" s="362"/>
      <c r="B193" s="362"/>
      <c r="C193" s="362"/>
      <c r="D193" s="362"/>
      <c r="E193" s="362"/>
      <c r="F193" s="362"/>
      <c r="G193" s="362"/>
      <c r="H193" s="362"/>
      <c r="I193" s="362"/>
      <c r="J193" s="362"/>
      <c r="K193" s="362"/>
    </row>
    <row r="194" spans="1:11" s="8" customFormat="1" ht="12.75">
      <c r="A194" s="362"/>
      <c r="B194" s="362"/>
      <c r="C194" s="362"/>
      <c r="D194" s="362"/>
      <c r="E194" s="362"/>
      <c r="F194" s="362"/>
      <c r="G194" s="362"/>
      <c r="H194" s="362"/>
      <c r="I194" s="362"/>
      <c r="J194" s="362"/>
      <c r="K194" s="362"/>
    </row>
    <row r="195" spans="1:9" s="8" customFormat="1" ht="12.75">
      <c r="A195" s="228" t="s">
        <v>62</v>
      </c>
      <c r="B195" s="228"/>
      <c r="C195" s="228"/>
      <c r="D195" s="228"/>
      <c r="E195" s="228"/>
      <c r="I195" s="343"/>
    </row>
    <row r="196" spans="1:9" s="8" customFormat="1" ht="12.75">
      <c r="A196" s="228"/>
      <c r="B196" s="228"/>
      <c r="C196" s="228"/>
      <c r="D196" s="228"/>
      <c r="E196" s="228"/>
      <c r="I196" s="343"/>
    </row>
    <row r="197" spans="1:9" s="8" customFormat="1" ht="12.75">
      <c r="A197" s="110" t="s">
        <v>63</v>
      </c>
      <c r="B197" s="228"/>
      <c r="C197" s="228"/>
      <c r="D197" s="228"/>
      <c r="E197" s="228"/>
      <c r="I197" s="343"/>
    </row>
    <row r="198" spans="1:11" s="8" customFormat="1" ht="12.75">
      <c r="A198" s="364" t="s">
        <v>276</v>
      </c>
      <c r="B198" s="362"/>
      <c r="C198" s="362"/>
      <c r="D198" s="362"/>
      <c r="E198" s="362"/>
      <c r="F198" s="362"/>
      <c r="G198" s="362"/>
      <c r="H198" s="362"/>
      <c r="I198" s="362"/>
      <c r="J198" s="362"/>
      <c r="K198" s="362"/>
    </row>
    <row r="199" spans="1:11" s="8" customFormat="1" ht="12.75">
      <c r="A199" s="362"/>
      <c r="B199" s="362"/>
      <c r="C199" s="362"/>
      <c r="D199" s="362"/>
      <c r="E199" s="362"/>
      <c r="F199" s="362"/>
      <c r="G199" s="362"/>
      <c r="H199" s="362"/>
      <c r="I199" s="362"/>
      <c r="J199" s="362"/>
      <c r="K199" s="362"/>
    </row>
    <row r="200" spans="1:9" s="8" customFormat="1" ht="12.75">
      <c r="A200" s="228" t="s">
        <v>64</v>
      </c>
      <c r="B200" s="228"/>
      <c r="C200" s="228"/>
      <c r="D200" s="228"/>
      <c r="E200" s="228"/>
      <c r="I200" s="343"/>
    </row>
    <row r="201" spans="1:9" s="8" customFormat="1" ht="12.75">
      <c r="A201" s="228"/>
      <c r="B201" s="228"/>
      <c r="C201" s="228"/>
      <c r="D201" s="228"/>
      <c r="E201" s="228"/>
      <c r="I201" s="343"/>
    </row>
    <row r="202" spans="1:9" s="8" customFormat="1" ht="12.75">
      <c r="A202" s="110" t="s">
        <v>4</v>
      </c>
      <c r="B202" s="228"/>
      <c r="C202" s="228"/>
      <c r="D202" s="228"/>
      <c r="E202" s="228"/>
      <c r="I202" s="343"/>
    </row>
    <row r="203" spans="1:11" s="8" customFormat="1" ht="12.75">
      <c r="A203" s="362" t="s">
        <v>277</v>
      </c>
      <c r="B203" s="362"/>
      <c r="C203" s="362"/>
      <c r="D203" s="362"/>
      <c r="E203" s="362"/>
      <c r="F203" s="362"/>
      <c r="G203" s="362"/>
      <c r="H203" s="362"/>
      <c r="I203" s="362"/>
      <c r="J203" s="362"/>
      <c r="K203" s="362"/>
    </row>
    <row r="204" spans="1:9" s="8" customFormat="1" ht="12.75">
      <c r="A204" s="228"/>
      <c r="B204" s="228"/>
      <c r="C204" s="228"/>
      <c r="D204" s="228"/>
      <c r="E204" s="228"/>
      <c r="I204" s="343"/>
    </row>
    <row r="205" spans="1:9" s="8" customFormat="1" ht="12.75">
      <c r="A205" s="110" t="s">
        <v>65</v>
      </c>
      <c r="B205" s="228"/>
      <c r="C205" s="228"/>
      <c r="D205" s="228"/>
      <c r="E205" s="228"/>
      <c r="I205" s="343"/>
    </row>
    <row r="206" spans="1:9" s="8" customFormat="1" ht="12.75">
      <c r="A206" s="228" t="s">
        <v>278</v>
      </c>
      <c r="B206" s="228"/>
      <c r="C206" s="228"/>
      <c r="D206" s="228"/>
      <c r="E206" s="228"/>
      <c r="I206" s="343"/>
    </row>
    <row r="207" spans="1:9" s="8" customFormat="1" ht="12.75">
      <c r="A207" s="228" t="s">
        <v>81</v>
      </c>
      <c r="B207" s="228"/>
      <c r="C207" s="228"/>
      <c r="D207" s="228"/>
      <c r="E207" s="228"/>
      <c r="I207" s="343"/>
    </row>
    <row r="208" spans="1:9" s="8" customFormat="1" ht="12.75">
      <c r="A208" s="228" t="s">
        <v>82</v>
      </c>
      <c r="B208" s="228"/>
      <c r="C208" s="228"/>
      <c r="D208" s="228"/>
      <c r="E208" s="228"/>
      <c r="I208" s="343"/>
    </row>
    <row r="209" spans="1:5" ht="12.75">
      <c r="A209" s="111"/>
      <c r="B209" s="111"/>
      <c r="C209" s="111"/>
      <c r="D209" s="111"/>
      <c r="E209" s="111"/>
    </row>
    <row r="210" spans="1:5" ht="12.75">
      <c r="A210" s="110" t="s">
        <v>281</v>
      </c>
      <c r="B210" s="111"/>
      <c r="C210" s="111"/>
      <c r="D210" s="111"/>
      <c r="E210" s="111"/>
    </row>
    <row r="211" spans="1:5" ht="12.75">
      <c r="A211" s="111" t="s">
        <v>282</v>
      </c>
      <c r="B211" s="111"/>
      <c r="C211" s="111"/>
      <c r="D211" s="111"/>
      <c r="E211" s="111"/>
    </row>
    <row r="212" spans="1:5" ht="12.75">
      <c r="A212" s="111" t="s">
        <v>283</v>
      </c>
      <c r="B212" s="111"/>
      <c r="C212" s="111"/>
      <c r="D212" s="111"/>
      <c r="E212" s="111"/>
    </row>
    <row r="213" spans="1:11" ht="12.75">
      <c r="A213" s="305"/>
      <c r="B213" s="305"/>
      <c r="C213" s="305"/>
      <c r="D213" s="305"/>
      <c r="E213" s="305"/>
      <c r="F213" s="305"/>
      <c r="G213" s="305"/>
      <c r="H213" s="305"/>
      <c r="I213" s="344"/>
      <c r="J213" s="305"/>
      <c r="K213" s="305"/>
    </row>
    <row r="214" spans="1:11" ht="12.75">
      <c r="A214" s="305"/>
      <c r="B214" s="305"/>
      <c r="C214" s="305"/>
      <c r="D214" s="305"/>
      <c r="E214" s="305"/>
      <c r="F214" s="305"/>
      <c r="G214" s="305"/>
      <c r="H214" s="305"/>
      <c r="I214" s="344"/>
      <c r="J214" s="305"/>
      <c r="K214" s="305"/>
    </row>
    <row r="215" spans="1:11" ht="12.75">
      <c r="A215" s="360" t="s">
        <v>125</v>
      </c>
      <c r="B215" s="360"/>
      <c r="C215" s="360"/>
      <c r="D215" s="360"/>
      <c r="E215" s="360"/>
      <c r="F215" s="360"/>
      <c r="G215" s="360"/>
      <c r="H215" s="360"/>
      <c r="I215" s="360"/>
      <c r="J215" s="360"/>
      <c r="K215" s="360"/>
    </row>
    <row r="216" spans="1:11" ht="12.75">
      <c r="A216" s="305"/>
      <c r="B216" s="305"/>
      <c r="C216" s="305"/>
      <c r="D216" s="305"/>
      <c r="E216" s="305"/>
      <c r="F216" s="305"/>
      <c r="G216" s="305"/>
      <c r="H216" s="305"/>
      <c r="I216" s="344"/>
      <c r="J216" s="305"/>
      <c r="K216" s="305"/>
    </row>
    <row r="217" spans="1:11" ht="12.75">
      <c r="A217" s="110" t="s">
        <v>126</v>
      </c>
      <c r="B217" s="112"/>
      <c r="C217" s="112"/>
      <c r="D217" s="112"/>
      <c r="E217" s="112"/>
      <c r="F217" s="112"/>
      <c r="G217" s="117"/>
      <c r="H217" s="112"/>
      <c r="J217" s="112"/>
      <c r="K217" s="112"/>
    </row>
    <row r="218" spans="1:11" ht="12.75">
      <c r="A218" s="362" t="s">
        <v>284</v>
      </c>
      <c r="B218" s="362"/>
      <c r="C218" s="362"/>
      <c r="D218" s="362"/>
      <c r="E218" s="362"/>
      <c r="F218" s="362"/>
      <c r="G218" s="362"/>
      <c r="H218" s="362"/>
      <c r="I218" s="362"/>
      <c r="J218" s="362"/>
      <c r="K218" s="362"/>
    </row>
    <row r="219" spans="1:11" ht="12.75">
      <c r="A219" s="362"/>
      <c r="B219" s="362"/>
      <c r="C219" s="362"/>
      <c r="D219" s="362"/>
      <c r="E219" s="362"/>
      <c r="F219" s="362"/>
      <c r="G219" s="362"/>
      <c r="H219" s="362"/>
      <c r="I219" s="362"/>
      <c r="J219" s="362"/>
      <c r="K219" s="362"/>
    </row>
    <row r="220" spans="1:11" ht="12.75">
      <c r="A220" s="355" t="s">
        <v>3</v>
      </c>
      <c r="B220" s="355"/>
      <c r="C220" s="355"/>
      <c r="D220" s="355"/>
      <c r="E220" s="355"/>
      <c r="F220" s="355"/>
      <c r="G220" s="355"/>
      <c r="H220" s="355"/>
      <c r="I220" s="355"/>
      <c r="J220" s="355"/>
      <c r="K220" s="355"/>
    </row>
    <row r="221" spans="1:11" ht="12.75">
      <c r="A221" s="355"/>
      <c r="B221" s="355"/>
      <c r="C221" s="355"/>
      <c r="D221" s="355"/>
      <c r="E221" s="355"/>
      <c r="F221" s="355"/>
      <c r="G221" s="355"/>
      <c r="H221" s="355"/>
      <c r="I221" s="355"/>
      <c r="J221" s="355"/>
      <c r="K221" s="355"/>
    </row>
    <row r="222" spans="1:11" ht="12.75">
      <c r="A222" s="355"/>
      <c r="B222" s="355"/>
      <c r="C222" s="355"/>
      <c r="D222" s="355"/>
      <c r="E222" s="355"/>
      <c r="F222" s="355"/>
      <c r="G222" s="355"/>
      <c r="H222" s="355"/>
      <c r="I222" s="355"/>
      <c r="J222" s="355"/>
      <c r="K222" s="355"/>
    </row>
    <row r="223" spans="1:11" ht="12.75">
      <c r="A223" s="118"/>
      <c r="B223" s="118"/>
      <c r="C223" s="118"/>
      <c r="D223" s="118"/>
      <c r="E223" s="118"/>
      <c r="F223" s="118"/>
      <c r="G223" s="118"/>
      <c r="H223" s="118"/>
      <c r="J223" s="118"/>
      <c r="K223" s="118"/>
    </row>
    <row r="224" spans="1:11" ht="12.75">
      <c r="A224" s="110" t="s">
        <v>127</v>
      </c>
      <c r="B224" s="118"/>
      <c r="C224" s="118"/>
      <c r="D224" s="118"/>
      <c r="E224" s="118"/>
      <c r="F224" s="118"/>
      <c r="G224" s="118"/>
      <c r="H224" s="118"/>
      <c r="J224" s="118"/>
      <c r="K224" s="118"/>
    </row>
    <row r="225" spans="1:11" ht="12.75">
      <c r="A225" s="356" t="s">
        <v>342</v>
      </c>
      <c r="B225" s="357"/>
      <c r="C225" s="357"/>
      <c r="D225" s="357"/>
      <c r="E225" s="357"/>
      <c r="F225" s="357"/>
      <c r="G225" s="357"/>
      <c r="H225" s="357"/>
      <c r="I225" s="357"/>
      <c r="J225" s="357"/>
      <c r="K225" s="357"/>
    </row>
    <row r="226" spans="1:11" ht="12.75">
      <c r="A226" s="356"/>
      <c r="B226" s="357"/>
      <c r="C226" s="357"/>
      <c r="D226" s="357"/>
      <c r="E226" s="357"/>
      <c r="F226" s="357"/>
      <c r="G226" s="357"/>
      <c r="H226" s="357"/>
      <c r="I226" s="357"/>
      <c r="J226" s="357"/>
      <c r="K226" s="357"/>
    </row>
    <row r="227" spans="1:11" ht="12.75">
      <c r="A227" s="357"/>
      <c r="B227" s="357"/>
      <c r="C227" s="357"/>
      <c r="D227" s="357"/>
      <c r="E227" s="357"/>
      <c r="F227" s="357"/>
      <c r="G227" s="357"/>
      <c r="H227" s="357"/>
      <c r="I227" s="357"/>
      <c r="J227" s="357"/>
      <c r="K227" s="357"/>
    </row>
    <row r="228" spans="1:11" ht="12.75">
      <c r="A228" s="357"/>
      <c r="B228" s="357"/>
      <c r="C228" s="357"/>
      <c r="D228" s="357"/>
      <c r="E228" s="357"/>
      <c r="F228" s="357"/>
      <c r="G228" s="357"/>
      <c r="H228" s="357"/>
      <c r="I228" s="357"/>
      <c r="J228" s="357"/>
      <c r="K228" s="357"/>
    </row>
    <row r="229" spans="1:11" ht="12.75">
      <c r="A229" s="118"/>
      <c r="B229" s="118"/>
      <c r="C229" s="118"/>
      <c r="D229" s="118"/>
      <c r="E229" s="118"/>
      <c r="F229" s="118"/>
      <c r="G229" s="118"/>
      <c r="H229" s="118"/>
      <c r="J229" s="118"/>
      <c r="K229" s="118"/>
    </row>
    <row r="230" spans="1:11" ht="12.75">
      <c r="A230" s="356" t="s">
        <v>285</v>
      </c>
      <c r="B230" s="357"/>
      <c r="C230" s="357"/>
      <c r="D230" s="357"/>
      <c r="E230" s="357"/>
      <c r="F230" s="357"/>
      <c r="G230" s="357"/>
      <c r="H230" s="357"/>
      <c r="I230" s="357"/>
      <c r="J230" s="357"/>
      <c r="K230" s="357"/>
    </row>
    <row r="231" spans="1:11" ht="12.75">
      <c r="A231" s="356"/>
      <c r="B231" s="357"/>
      <c r="C231" s="357"/>
      <c r="D231" s="357"/>
      <c r="E231" s="357"/>
      <c r="F231" s="357"/>
      <c r="G231" s="357"/>
      <c r="H231" s="357"/>
      <c r="I231" s="357"/>
      <c r="J231" s="357"/>
      <c r="K231" s="357"/>
    </row>
    <row r="232" spans="1:11" ht="12.75">
      <c r="A232" s="357"/>
      <c r="B232" s="357"/>
      <c r="C232" s="357"/>
      <c r="D232" s="357"/>
      <c r="E232" s="357"/>
      <c r="F232" s="357"/>
      <c r="G232" s="357"/>
      <c r="H232" s="357"/>
      <c r="I232" s="357"/>
      <c r="J232" s="357"/>
      <c r="K232" s="357"/>
    </row>
    <row r="233" spans="1:11" ht="12.75">
      <c r="A233" s="357"/>
      <c r="B233" s="357"/>
      <c r="C233" s="357"/>
      <c r="D233" s="357"/>
      <c r="E233" s="357"/>
      <c r="F233" s="357"/>
      <c r="G233" s="357"/>
      <c r="H233" s="357"/>
      <c r="I233" s="357"/>
      <c r="J233" s="357"/>
      <c r="K233" s="357"/>
    </row>
    <row r="234" spans="1:11" ht="12.75">
      <c r="A234" s="356" t="s">
        <v>286</v>
      </c>
      <c r="B234" s="357"/>
      <c r="C234" s="357"/>
      <c r="D234" s="357"/>
      <c r="E234" s="357"/>
      <c r="F234" s="357"/>
      <c r="G234" s="357"/>
      <c r="H234" s="357"/>
      <c r="I234" s="357"/>
      <c r="J234" s="357"/>
      <c r="K234" s="357"/>
    </row>
    <row r="235" spans="1:11" ht="12.75">
      <c r="A235" s="357"/>
      <c r="B235" s="357"/>
      <c r="C235" s="357"/>
      <c r="D235" s="357"/>
      <c r="E235" s="357"/>
      <c r="F235" s="357"/>
      <c r="G235" s="357"/>
      <c r="H235" s="357"/>
      <c r="I235" s="357"/>
      <c r="J235" s="357"/>
      <c r="K235" s="357"/>
    </row>
    <row r="236" spans="1:11" ht="12.75">
      <c r="A236" s="357"/>
      <c r="B236" s="357"/>
      <c r="C236" s="357"/>
      <c r="D236" s="357"/>
      <c r="E236" s="357"/>
      <c r="F236" s="357"/>
      <c r="G236" s="357"/>
      <c r="H236" s="357"/>
      <c r="I236" s="357"/>
      <c r="J236" s="357"/>
      <c r="K236" s="357"/>
    </row>
    <row r="237" spans="1:11" ht="12.75">
      <c r="A237" s="118"/>
      <c r="B237" s="118"/>
      <c r="C237" s="118"/>
      <c r="D237" s="118"/>
      <c r="E237" s="118"/>
      <c r="F237" s="118"/>
      <c r="G237" s="118"/>
      <c r="H237" s="118"/>
      <c r="J237" s="118"/>
      <c r="K237" s="118"/>
    </row>
    <row r="238" spans="1:11" ht="12.75">
      <c r="A238" s="112"/>
      <c r="B238" s="112"/>
      <c r="C238" s="112"/>
      <c r="D238" s="112"/>
      <c r="E238" s="112"/>
      <c r="F238" s="112"/>
      <c r="G238" s="112"/>
      <c r="H238" s="112"/>
      <c r="J238" s="112"/>
      <c r="K238" s="112"/>
    </row>
    <row r="239" spans="1:5" ht="12.75">
      <c r="A239" s="111"/>
      <c r="B239" s="111"/>
      <c r="C239" s="111"/>
      <c r="D239" s="111"/>
      <c r="E239" s="111"/>
    </row>
    <row r="240" spans="1:5" ht="12.75">
      <c r="A240" s="111"/>
      <c r="B240" s="111"/>
      <c r="C240" s="111"/>
      <c r="D240" s="111"/>
      <c r="E240" s="111"/>
    </row>
  </sheetData>
  <mergeCells count="60">
    <mergeCell ref="B148:K150"/>
    <mergeCell ref="B151:K152"/>
    <mergeCell ref="B153:K154"/>
    <mergeCell ref="A198:K199"/>
    <mergeCell ref="A203:K203"/>
    <mergeCell ref="A159:K161"/>
    <mergeCell ref="A162:K163"/>
    <mergeCell ref="A167:K170"/>
    <mergeCell ref="A175:K178"/>
    <mergeCell ref="A164:K164"/>
    <mergeCell ref="A158:K158"/>
    <mergeCell ref="A218:K219"/>
    <mergeCell ref="A234:K236"/>
    <mergeCell ref="A171:K174"/>
    <mergeCell ref="A179:K180"/>
    <mergeCell ref="A220:K222"/>
    <mergeCell ref="A187:K187"/>
    <mergeCell ref="A225:K228"/>
    <mergeCell ref="A230:K233"/>
    <mergeCell ref="A215:K215"/>
    <mergeCell ref="A191:K194"/>
    <mergeCell ref="A155:K157"/>
    <mergeCell ref="A104:K105"/>
    <mergeCell ref="A109:K111"/>
    <mergeCell ref="A106:K106"/>
    <mergeCell ref="B133:K134"/>
    <mergeCell ref="B135:K136"/>
    <mergeCell ref="A146:K147"/>
    <mergeCell ref="A121:K122"/>
    <mergeCell ref="A20:K21"/>
    <mergeCell ref="B65:K67"/>
    <mergeCell ref="A22:K23"/>
    <mergeCell ref="B57:K61"/>
    <mergeCell ref="B62:K64"/>
    <mergeCell ref="A25:K27"/>
    <mergeCell ref="A28:K29"/>
    <mergeCell ref="A37:K40"/>
    <mergeCell ref="A46:K48"/>
    <mergeCell ref="A3:K3"/>
    <mergeCell ref="A19:K19"/>
    <mergeCell ref="A4:K5"/>
    <mergeCell ref="A12:K13"/>
    <mergeCell ref="A183:K185"/>
    <mergeCell ref="A128:K130"/>
    <mergeCell ref="A137:K140"/>
    <mergeCell ref="A81:K81"/>
    <mergeCell ref="A115:K117"/>
    <mergeCell ref="A141:K143"/>
    <mergeCell ref="A123:K125"/>
    <mergeCell ref="A82:K82"/>
    <mergeCell ref="A85:K85"/>
    <mergeCell ref="A91:K92"/>
    <mergeCell ref="B68:K70"/>
    <mergeCell ref="A78:K79"/>
    <mergeCell ref="B119:K120"/>
    <mergeCell ref="B131:K132"/>
    <mergeCell ref="A102:K103"/>
    <mergeCell ref="A86:K87"/>
    <mergeCell ref="A93:K94"/>
    <mergeCell ref="A95:K96"/>
  </mergeCells>
  <printOptions horizontalCentered="1"/>
  <pageMargins left="0.5905511811023623" right="0.1968503937007874" top="0.984251968503937" bottom="0.984251968503937" header="0.5118110236220472" footer="0.5118110236220472"/>
  <pageSetup horizontalDpi="300" verticalDpi="300" orientation="portrait" paperSize="9" scale="80" r:id="rId1"/>
  <headerFooter alignWithMargins="0">
    <oddFooter>&amp;RCogenerazione - Pag. &amp;P</oddFooter>
  </headerFooter>
  <rowBreaks count="4" manualBreakCount="4">
    <brk id="44" max="255" man="1"/>
    <brk id="100" max="255" man="1"/>
    <brk id="144" max="255" man="1"/>
    <brk id="186" max="255" man="1"/>
  </rowBreaks>
</worksheet>
</file>

<file path=xl/worksheets/sheet3.xml><?xml version="1.0" encoding="utf-8"?>
<worksheet xmlns="http://schemas.openxmlformats.org/spreadsheetml/2006/main" xmlns:r="http://schemas.openxmlformats.org/officeDocument/2006/relationships">
  <dimension ref="A1:K18"/>
  <sheetViews>
    <sheetView showGridLines="0" showZeros="0" workbookViewId="0" topLeftCell="A1">
      <selection activeCell="A1" sqref="A1"/>
    </sheetView>
  </sheetViews>
  <sheetFormatPr defaultColWidth="9.140625" defaultRowHeight="12.75"/>
  <cols>
    <col min="1" max="1" width="7.28125" style="4" customWidth="1"/>
    <col min="2" max="2" width="12.7109375" style="4" customWidth="1"/>
    <col min="3" max="6" width="14.7109375" style="4" customWidth="1"/>
    <col min="7" max="7" width="9.140625" style="4" customWidth="1"/>
    <col min="8" max="11" width="12.7109375" style="4" customWidth="1"/>
    <col min="12" max="16384" width="9.140625" style="4" customWidth="1"/>
  </cols>
  <sheetData>
    <row r="1" spans="2:11" ht="12.75">
      <c r="B1" s="367" t="s">
        <v>50</v>
      </c>
      <c r="C1" s="367"/>
      <c r="D1" s="367"/>
      <c r="E1" s="367"/>
      <c r="F1" s="367"/>
      <c r="H1" s="415" t="s">
        <v>347</v>
      </c>
      <c r="I1" s="422"/>
      <c r="J1" s="420" t="s">
        <v>348</v>
      </c>
      <c r="K1" s="422"/>
    </row>
    <row r="2" spans="8:11" ht="12.75">
      <c r="H2" s="419">
        <f>Testo!$J$24</f>
        <v>1000</v>
      </c>
      <c r="I2" s="423"/>
      <c r="J2" s="421">
        <f>Testo!$J$36</f>
        <v>1100</v>
      </c>
      <c r="K2" s="423"/>
    </row>
    <row r="3" spans="2:11" ht="18" customHeight="1">
      <c r="B3" s="2" t="s">
        <v>5</v>
      </c>
      <c r="C3" s="365" t="s">
        <v>6</v>
      </c>
      <c r="D3" s="366"/>
      <c r="E3" s="365" t="s">
        <v>7</v>
      </c>
      <c r="F3" s="366"/>
      <c r="H3" s="415" t="s">
        <v>343</v>
      </c>
      <c r="I3" s="415" t="s">
        <v>344</v>
      </c>
      <c r="J3" s="415" t="s">
        <v>345</v>
      </c>
      <c r="K3" s="415" t="s">
        <v>346</v>
      </c>
    </row>
    <row r="4" spans="2:11" ht="18" customHeight="1">
      <c r="B4" s="3" t="s">
        <v>8</v>
      </c>
      <c r="C4" s="1" t="s">
        <v>9</v>
      </c>
      <c r="D4" s="1" t="s">
        <v>10</v>
      </c>
      <c r="E4" s="1" t="s">
        <v>9</v>
      </c>
      <c r="F4" s="1" t="s">
        <v>10</v>
      </c>
      <c r="H4" s="417"/>
      <c r="I4" s="416">
        <v>0.9</v>
      </c>
      <c r="J4" s="417"/>
      <c r="K4" s="416">
        <v>0.9</v>
      </c>
    </row>
    <row r="5" spans="1:11" ht="18" customHeight="1">
      <c r="A5" s="4">
        <v>1</v>
      </c>
      <c r="B5" s="125">
        <v>300</v>
      </c>
      <c r="C5" s="125">
        <v>1400</v>
      </c>
      <c r="D5" s="125">
        <v>1700</v>
      </c>
      <c r="E5" s="5">
        <f>$B5*C5/1000</f>
        <v>420</v>
      </c>
      <c r="F5" s="5">
        <f>$B5*D5/1000</f>
        <v>510</v>
      </c>
      <c r="H5" s="5">
        <f>IF(C5&gt;=$H$2,$B5,0)</f>
        <v>300</v>
      </c>
      <c r="I5" s="5">
        <f>IF(C5&gt;=$H$2*$I$4,$B5,0)</f>
        <v>300</v>
      </c>
      <c r="J5" s="5">
        <f>IF(D5&gt;=$J$2,$B5,0)</f>
        <v>300</v>
      </c>
      <c r="K5" s="5">
        <f>IF(D5&gt;=$J$2*$K$4,$B5,0)</f>
        <v>300</v>
      </c>
    </row>
    <row r="6" spans="1:11" ht="18" customHeight="1">
      <c r="A6" s="4">
        <v>2</v>
      </c>
      <c r="B6" s="125">
        <v>300</v>
      </c>
      <c r="C6" s="125">
        <v>1200</v>
      </c>
      <c r="D6" s="125">
        <v>1200</v>
      </c>
      <c r="E6" s="5">
        <f aca="true" t="shared" si="0" ref="E6:E14">$B6*C6/1000</f>
        <v>360</v>
      </c>
      <c r="F6" s="5">
        <f aca="true" t="shared" si="1" ref="F6:F14">$B6*D6/1000</f>
        <v>360</v>
      </c>
      <c r="H6" s="5">
        <f>IF(C6&gt;=$H$2,$B6,0)</f>
        <v>300</v>
      </c>
      <c r="I6" s="5">
        <f>IF(C6&gt;=$H$2*$I$4,$B6,0)</f>
        <v>300</v>
      </c>
      <c r="J6" s="5">
        <f>IF(D6&gt;=$J$2,$B6,0)</f>
        <v>300</v>
      </c>
      <c r="K6" s="5">
        <f>IF(D6&gt;=$J$2*$K$4,$B6,0)</f>
        <v>300</v>
      </c>
    </row>
    <row r="7" spans="1:11" ht="18" customHeight="1">
      <c r="A7" s="4">
        <v>3</v>
      </c>
      <c r="B7" s="125">
        <v>400</v>
      </c>
      <c r="C7" s="125">
        <v>1100</v>
      </c>
      <c r="D7" s="125">
        <v>1050</v>
      </c>
      <c r="E7" s="5">
        <f t="shared" si="0"/>
        <v>440</v>
      </c>
      <c r="F7" s="5">
        <f t="shared" si="1"/>
        <v>420</v>
      </c>
      <c r="H7" s="5">
        <f>IF(C7&gt;=$H$2,$B7,0)</f>
        <v>400</v>
      </c>
      <c r="I7" s="5">
        <f>IF(C7&gt;=$H$2*$I$4,$B7,0)</f>
        <v>400</v>
      </c>
      <c r="J7" s="5">
        <f>IF(D7&gt;=$J$2,$B7,0)</f>
        <v>0</v>
      </c>
      <c r="K7" s="5">
        <f>IF(D7&gt;=$J$2*$K$4,$B7,0)</f>
        <v>400</v>
      </c>
    </row>
    <row r="8" spans="1:11" ht="18" customHeight="1">
      <c r="A8" s="4">
        <v>4</v>
      </c>
      <c r="B8" s="125">
        <v>500</v>
      </c>
      <c r="C8" s="125">
        <v>1000</v>
      </c>
      <c r="D8" s="125">
        <v>1200</v>
      </c>
      <c r="E8" s="5">
        <f t="shared" si="0"/>
        <v>500</v>
      </c>
      <c r="F8" s="5">
        <f t="shared" si="1"/>
        <v>600</v>
      </c>
      <c r="H8" s="5">
        <f>IF(C8&gt;=$H$2,$B8,0)</f>
        <v>500</v>
      </c>
      <c r="I8" s="5">
        <f>IF(C8&gt;=$H$2*$I$4,$B8,0)</f>
        <v>500</v>
      </c>
      <c r="J8" s="5">
        <f>IF(D8&gt;=$J$2,$B8,0)</f>
        <v>500</v>
      </c>
      <c r="K8" s="5">
        <f>IF(D8&gt;=$J$2*$K$4,$B8,0)</f>
        <v>500</v>
      </c>
    </row>
    <row r="9" spans="1:11" ht="18" customHeight="1">
      <c r="A9" s="4">
        <v>5</v>
      </c>
      <c r="B9" s="125">
        <v>600</v>
      </c>
      <c r="C9" s="125">
        <v>930</v>
      </c>
      <c r="D9" s="125">
        <v>1060</v>
      </c>
      <c r="E9" s="5">
        <f t="shared" si="0"/>
        <v>558</v>
      </c>
      <c r="F9" s="5">
        <f t="shared" si="1"/>
        <v>636</v>
      </c>
      <c r="H9" s="5">
        <f>IF(C9&gt;=$H$2,$B9,0)</f>
        <v>0</v>
      </c>
      <c r="I9" s="5">
        <f>IF(C9&gt;=$H$2*$I$4,$B9,0)</f>
        <v>600</v>
      </c>
      <c r="J9" s="5">
        <f>IF(D9&gt;=$J$2,$B9,0)</f>
        <v>0</v>
      </c>
      <c r="K9" s="5">
        <f>IF(D9&gt;=$J$2*$K$4,$B9,0)</f>
        <v>600</v>
      </c>
    </row>
    <row r="10" spans="1:11" ht="18" customHeight="1">
      <c r="A10" s="4">
        <v>6</v>
      </c>
      <c r="B10" s="125">
        <v>700</v>
      </c>
      <c r="C10" s="125">
        <v>900</v>
      </c>
      <c r="D10" s="125">
        <v>950</v>
      </c>
      <c r="E10" s="5">
        <f t="shared" si="0"/>
        <v>630</v>
      </c>
      <c r="F10" s="5">
        <f t="shared" si="1"/>
        <v>665</v>
      </c>
      <c r="H10" s="5">
        <f>IF(C10&gt;=$H$2,$B10,0)</f>
        <v>0</v>
      </c>
      <c r="I10" s="5">
        <f>IF(C10&gt;=$H$2*$I$4,$B10,0)</f>
        <v>700</v>
      </c>
      <c r="J10" s="5">
        <f>IF(D10&gt;=$J$2,$B10,0)</f>
        <v>0</v>
      </c>
      <c r="K10" s="5">
        <f>IF(D10&gt;=$J$2*$K$4,$B10,0)</f>
        <v>0</v>
      </c>
    </row>
    <row r="11" spans="1:11" ht="18" customHeight="1">
      <c r="A11" s="4">
        <v>7</v>
      </c>
      <c r="B11" s="125">
        <v>800</v>
      </c>
      <c r="C11" s="125">
        <v>800</v>
      </c>
      <c r="D11" s="125">
        <v>1000</v>
      </c>
      <c r="E11" s="5">
        <f t="shared" si="0"/>
        <v>640</v>
      </c>
      <c r="F11" s="5">
        <f t="shared" si="1"/>
        <v>800</v>
      </c>
      <c r="H11" s="5">
        <f>IF(C11&gt;=$H$2,$B11,0)</f>
        <v>0</v>
      </c>
      <c r="I11" s="5">
        <f>IF(C11&gt;=$H$2*$I$4,$B11,0)</f>
        <v>0</v>
      </c>
      <c r="J11" s="5">
        <f>IF(D11&gt;=$J$2,$B11,0)</f>
        <v>0</v>
      </c>
      <c r="K11" s="5">
        <f>IF(D11&gt;=$J$2*$K$4,$B11,0)</f>
        <v>800</v>
      </c>
    </row>
    <row r="12" spans="1:11" ht="18" customHeight="1">
      <c r="A12" s="4">
        <v>8</v>
      </c>
      <c r="B12" s="125">
        <v>1000</v>
      </c>
      <c r="C12" s="125">
        <v>800</v>
      </c>
      <c r="D12" s="125">
        <v>700</v>
      </c>
      <c r="E12" s="5">
        <f t="shared" si="0"/>
        <v>800</v>
      </c>
      <c r="F12" s="5">
        <f t="shared" si="1"/>
        <v>700</v>
      </c>
      <c r="H12" s="5">
        <f>IF(C12&gt;=$H$2,$B12,0)</f>
        <v>0</v>
      </c>
      <c r="I12" s="5">
        <f>IF(C12&gt;=$H$2*$I$4,$B12,0)</f>
        <v>0</v>
      </c>
      <c r="J12" s="5">
        <f>IF(D12&gt;=$J$2,$B12,0)</f>
        <v>0</v>
      </c>
      <c r="K12" s="5">
        <f>IF(D12&gt;=$J$2*$K$4,$B12,0)</f>
        <v>0</v>
      </c>
    </row>
    <row r="13" spans="1:11" ht="18" customHeight="1">
      <c r="A13" s="4">
        <v>9</v>
      </c>
      <c r="B13" s="125">
        <v>800</v>
      </c>
      <c r="C13" s="125">
        <v>450</v>
      </c>
      <c r="D13" s="125">
        <v>450</v>
      </c>
      <c r="E13" s="5">
        <f t="shared" si="0"/>
        <v>360</v>
      </c>
      <c r="F13" s="5">
        <f t="shared" si="1"/>
        <v>360</v>
      </c>
      <c r="H13" s="5">
        <f>IF(C13&gt;=$H$2,$B13,0)</f>
        <v>0</v>
      </c>
      <c r="I13" s="5">
        <f>IF(C13&gt;=$H$2*$I$4,$B13,0)</f>
        <v>0</v>
      </c>
      <c r="J13" s="5">
        <f>IF(D13&gt;=$J$2,$B13,0)</f>
        <v>0</v>
      </c>
      <c r="K13" s="5">
        <f>IF(D13&gt;=$J$2*$K$4,$B13,0)</f>
        <v>0</v>
      </c>
    </row>
    <row r="14" spans="1:11" ht="18" customHeight="1">
      <c r="A14" s="4">
        <v>10</v>
      </c>
      <c r="B14" s="125">
        <v>800</v>
      </c>
      <c r="C14" s="125">
        <v>400</v>
      </c>
      <c r="D14" s="125">
        <v>500</v>
      </c>
      <c r="E14" s="5">
        <f t="shared" si="0"/>
        <v>320</v>
      </c>
      <c r="F14" s="5">
        <f t="shared" si="1"/>
        <v>400</v>
      </c>
      <c r="H14" s="5">
        <f>IF(C14&gt;=$H$2,$B14,0)</f>
        <v>0</v>
      </c>
      <c r="I14" s="5">
        <f>IF(C14&gt;=$H$2*$I$4,$B14,0)</f>
        <v>0</v>
      </c>
      <c r="J14" s="5">
        <f>IF(D14&gt;=$J$2,$B14,0)</f>
        <v>0</v>
      </c>
      <c r="K14" s="5">
        <f>IF(D14&gt;=$J$2*$K$4,$B14,0)</f>
        <v>0</v>
      </c>
    </row>
    <row r="15" spans="2:11" ht="18" customHeight="1">
      <c r="B15" s="6">
        <f>SUM(B5:B14)</f>
        <v>6200</v>
      </c>
      <c r="C15" s="5"/>
      <c r="D15" s="5"/>
      <c r="E15" s="6">
        <f>SUM(E5:E14)</f>
        <v>5028</v>
      </c>
      <c r="F15" s="6">
        <f>SUM(F5:F14)</f>
        <v>5451</v>
      </c>
      <c r="H15" s="6">
        <f>SUM(H5:H14)</f>
        <v>1500</v>
      </c>
      <c r="I15" s="6">
        <f>SUM(I5:I14)</f>
        <v>2800</v>
      </c>
      <c r="J15" s="6">
        <f>SUM(J5:J14)</f>
        <v>1100</v>
      </c>
      <c r="K15" s="6">
        <f>SUM(K5:K14)</f>
        <v>2900</v>
      </c>
    </row>
    <row r="17" spans="5:6" ht="12.75">
      <c r="E17" s="4">
        <v>100</v>
      </c>
      <c r="F17" s="4">
        <v>40.5</v>
      </c>
    </row>
    <row r="18" spans="5:6" ht="12.75">
      <c r="E18" s="7">
        <f>E17*E15</f>
        <v>502800</v>
      </c>
      <c r="F18" s="307">
        <f>F17*F15</f>
        <v>220765.5</v>
      </c>
    </row>
  </sheetData>
  <mergeCells count="3">
    <mergeCell ref="C3:D3"/>
    <mergeCell ref="E3:F3"/>
    <mergeCell ref="B1:F1"/>
  </mergeCells>
  <printOptions horizontalCentered="1"/>
  <pageMargins left="0.5905511811023623" right="0.5905511811023623" top="0.7874015748031497" bottom="0.7874015748031497" header="0.5118110236220472" footer="0.5118110236220472"/>
  <pageSetup horizontalDpi="360" verticalDpi="360" orientation="landscape" paperSize="9" scale="150" r:id="rId1"/>
  <headerFooter alignWithMargins="0">
    <oddFooter>&amp;RCogenerazione - Pag. &amp;P</oddFooter>
  </headerFooter>
</worksheet>
</file>

<file path=xl/worksheets/sheet4.xml><?xml version="1.0" encoding="utf-8"?>
<worksheet xmlns="http://schemas.openxmlformats.org/spreadsheetml/2006/main" xmlns:r="http://schemas.openxmlformats.org/officeDocument/2006/relationships">
  <dimension ref="A1:AG60"/>
  <sheetViews>
    <sheetView showGridLines="0" showZeros="0" zoomScale="85" zoomScaleNormal="85" workbookViewId="0" topLeftCell="A1">
      <pane ySplit="9" topLeftCell="BM10" activePane="bottomLeft" state="frozen"/>
      <selection pane="topLeft" activeCell="A1" sqref="A1"/>
      <selection pane="bottomLeft" activeCell="Y3" sqref="Y3"/>
    </sheetView>
  </sheetViews>
  <sheetFormatPr defaultColWidth="9.140625" defaultRowHeight="12.75"/>
  <cols>
    <col min="1" max="1" width="4.7109375" style="53" customWidth="1"/>
    <col min="2" max="2" width="7.7109375" style="53" customWidth="1"/>
    <col min="3" max="3" width="4.7109375" style="53" hidden="1" customWidth="1"/>
    <col min="4" max="4" width="0" style="53" hidden="1" customWidth="1"/>
    <col min="5" max="5" width="8.28125" style="53" customWidth="1"/>
    <col min="6" max="7" width="7.7109375" style="53" customWidth="1"/>
    <col min="8" max="8" width="4.28125" style="53" hidden="1" customWidth="1"/>
    <col min="9" max="9" width="6.8515625" style="53" customWidth="1"/>
    <col min="10" max="20" width="7.7109375" style="53" customWidth="1"/>
    <col min="21" max="24" width="7.28125" style="53" customWidth="1"/>
    <col min="25" max="26" width="9.140625" style="53" customWidth="1"/>
    <col min="27" max="27" width="9.8515625" style="53" customWidth="1"/>
    <col min="28" max="16384" width="9.140625" style="53" customWidth="1"/>
  </cols>
  <sheetData>
    <row r="1" spans="2:24" s="37" customFormat="1" ht="12.75">
      <c r="B1" s="371" t="str">
        <f>Curdura!B1</f>
        <v>ANALISI ECONOMICA DI UN SISTEMA DI COGENERAZIONE</v>
      </c>
      <c r="C1" s="372"/>
      <c r="D1" s="372"/>
      <c r="E1" s="372"/>
      <c r="F1" s="372"/>
      <c r="G1" s="372"/>
      <c r="H1" s="372"/>
      <c r="I1" s="372"/>
      <c r="J1" s="372"/>
      <c r="K1" s="372"/>
      <c r="L1" s="372"/>
      <c r="M1" s="372"/>
      <c r="N1" s="372"/>
      <c r="O1" s="372"/>
      <c r="P1" s="372"/>
      <c r="Q1" s="372"/>
      <c r="R1" s="372"/>
      <c r="S1" s="372"/>
      <c r="T1" s="372"/>
      <c r="U1" s="372"/>
      <c r="V1" s="372"/>
      <c r="W1" s="373"/>
      <c r="X1" s="226"/>
    </row>
    <row r="2" spans="2:33" s="37" customFormat="1" ht="12.75">
      <c r="B2" s="374" t="str">
        <f>"MODALITA' DI REGOLAZIONE: "&amp;CHOOSE(Y2,"CARICO ELETTRICO COMANDA","CARICO TERMICO COMANDA","MASSIMA COPERTURA DEL FABBISOGNO")</f>
        <v>MODALITA' DI REGOLAZIONE: MASSIMA COPERTURA DEL FABBISOGNO</v>
      </c>
      <c r="C2" s="375"/>
      <c r="D2" s="375"/>
      <c r="E2" s="375"/>
      <c r="F2" s="375"/>
      <c r="G2" s="375"/>
      <c r="H2" s="375"/>
      <c r="I2" s="375"/>
      <c r="J2" s="375"/>
      <c r="K2" s="375"/>
      <c r="L2" s="375"/>
      <c r="M2" s="375"/>
      <c r="N2" s="375"/>
      <c r="O2" s="375"/>
      <c r="P2" s="375"/>
      <c r="Q2" s="375"/>
      <c r="R2" s="375"/>
      <c r="S2" s="375"/>
      <c r="T2" s="375"/>
      <c r="U2" s="375"/>
      <c r="V2" s="375"/>
      <c r="W2" s="376"/>
      <c r="X2" s="226"/>
      <c r="Y2" s="302">
        <v>3</v>
      </c>
      <c r="Z2" s="204" t="s">
        <v>191</v>
      </c>
      <c r="AA2" s="205"/>
      <c r="AB2" s="303"/>
      <c r="AC2" s="304"/>
      <c r="AD2" s="54" t="s">
        <v>22</v>
      </c>
      <c r="AE2" s="54" t="s">
        <v>23</v>
      </c>
      <c r="AF2" s="54" t="s">
        <v>48</v>
      </c>
      <c r="AG2" s="55" t="s">
        <v>24</v>
      </c>
    </row>
    <row r="3" spans="2:33" s="37" customFormat="1" ht="12.75">
      <c r="B3" s="374" t="s">
        <v>11</v>
      </c>
      <c r="C3" s="375"/>
      <c r="D3" s="375"/>
      <c r="E3" s="375"/>
      <c r="F3" s="375"/>
      <c r="G3" s="375"/>
      <c r="H3" s="375"/>
      <c r="I3" s="375"/>
      <c r="J3" s="375"/>
      <c r="K3" s="375"/>
      <c r="L3" s="375"/>
      <c r="M3" s="375"/>
      <c r="N3" s="375"/>
      <c r="O3" s="375"/>
      <c r="P3" s="375"/>
      <c r="Q3" s="375"/>
      <c r="R3" s="375"/>
      <c r="S3" s="375"/>
      <c r="T3" s="375"/>
      <c r="U3" s="375"/>
      <c r="V3" s="375"/>
      <c r="W3" s="376"/>
      <c r="X3" s="226"/>
      <c r="AD3" s="150">
        <f>Testo!$J$31</f>
        <v>0.4</v>
      </c>
      <c r="AE3" s="150">
        <f>Testo!$J$32</f>
        <v>0.44</v>
      </c>
      <c r="AF3" s="49"/>
      <c r="AG3" s="281">
        <f>Testo!$J$11</f>
        <v>0.88</v>
      </c>
    </row>
    <row r="4" spans="2:33" s="37" customFormat="1" ht="12.75">
      <c r="B4" s="277"/>
      <c r="C4" s="278"/>
      <c r="D4" s="278"/>
      <c r="E4" s="278"/>
      <c r="F4" s="278"/>
      <c r="G4" s="278"/>
      <c r="H4" s="278"/>
      <c r="I4" s="278"/>
      <c r="J4" s="278"/>
      <c r="K4" s="278"/>
      <c r="L4" s="278"/>
      <c r="M4" s="278"/>
      <c r="N4" s="278"/>
      <c r="O4" s="278"/>
      <c r="P4" s="278"/>
      <c r="Q4" s="278"/>
      <c r="R4" s="278"/>
      <c r="S4" s="278"/>
      <c r="T4" s="278"/>
      <c r="U4" s="278"/>
      <c r="V4" s="278"/>
      <c r="W4" s="279"/>
      <c r="X4" s="226"/>
      <c r="AD4" s="151">
        <f>Testo!$J$24</f>
        <v>1000</v>
      </c>
      <c r="AE4" s="55">
        <f>AF4*AE$3</f>
        <v>1100</v>
      </c>
      <c r="AF4" s="55">
        <f>AD4/AD$3</f>
        <v>2500</v>
      </c>
      <c r="AG4" s="55"/>
    </row>
    <row r="5" spans="2:24" s="37" customFormat="1" ht="12.75" customHeight="1" hidden="1">
      <c r="B5" s="226"/>
      <c r="C5" s="226"/>
      <c r="D5" s="226"/>
      <c r="E5" s="226"/>
      <c r="F5" s="226"/>
      <c r="G5" s="226"/>
      <c r="H5" s="226"/>
      <c r="I5" s="226"/>
      <c r="J5" s="226"/>
      <c r="K5" s="226"/>
      <c r="L5" s="226"/>
      <c r="M5" s="226"/>
      <c r="N5" s="226"/>
      <c r="O5" s="226"/>
      <c r="P5" s="226"/>
      <c r="Q5" s="226"/>
      <c r="R5" s="226"/>
      <c r="S5" s="226"/>
      <c r="T5" s="226"/>
      <c r="U5" s="226"/>
      <c r="V5" s="226"/>
      <c r="W5" s="226"/>
      <c r="X5" s="226"/>
    </row>
    <row r="6" spans="1:29" s="38" customFormat="1" ht="16.5" customHeight="1">
      <c r="A6" s="37"/>
      <c r="B6" s="153" t="s">
        <v>154</v>
      </c>
      <c r="C6" s="231"/>
      <c r="D6" s="368" t="s">
        <v>227</v>
      </c>
      <c r="E6" s="153" t="s">
        <v>181</v>
      </c>
      <c r="F6" s="348" t="s">
        <v>39</v>
      </c>
      <c r="G6" s="349"/>
      <c r="H6" s="351" t="s">
        <v>186</v>
      </c>
      <c r="I6" s="348" t="s">
        <v>94</v>
      </c>
      <c r="J6" s="350"/>
      <c r="K6" s="350"/>
      <c r="L6" s="349"/>
      <c r="M6" s="377" t="s">
        <v>70</v>
      </c>
      <c r="N6" s="379"/>
      <c r="O6" s="377" t="s">
        <v>70</v>
      </c>
      <c r="P6" s="379"/>
      <c r="Q6" s="377" t="s">
        <v>177</v>
      </c>
      <c r="R6" s="378"/>
      <c r="S6" s="379"/>
      <c r="T6" s="121" t="s">
        <v>13</v>
      </c>
      <c r="U6" s="377" t="s">
        <v>180</v>
      </c>
      <c r="V6" s="378"/>
      <c r="W6" s="379"/>
      <c r="X6" s="226"/>
      <c r="Y6" s="47">
        <v>1</v>
      </c>
      <c r="Z6" s="47">
        <v>2</v>
      </c>
      <c r="AA6" s="47">
        <v>3</v>
      </c>
      <c r="AB6" s="37"/>
      <c r="AC6" s="103"/>
    </row>
    <row r="7" spans="1:28" s="38" customFormat="1" ht="16.5" customHeight="1">
      <c r="A7" s="37"/>
      <c r="B7" s="44" t="s">
        <v>155</v>
      </c>
      <c r="C7" s="232"/>
      <c r="D7" s="369"/>
      <c r="E7" s="44" t="s">
        <v>182</v>
      </c>
      <c r="F7" s="153" t="s">
        <v>13</v>
      </c>
      <c r="G7" s="153" t="s">
        <v>13</v>
      </c>
      <c r="H7" s="338"/>
      <c r="I7" s="45" t="s">
        <v>57</v>
      </c>
      <c r="J7" s="348" t="s">
        <v>13</v>
      </c>
      <c r="K7" s="350"/>
      <c r="L7" s="349"/>
      <c r="M7" s="380" t="s">
        <v>17</v>
      </c>
      <c r="N7" s="382"/>
      <c r="O7" s="380" t="s">
        <v>176</v>
      </c>
      <c r="P7" s="382"/>
      <c r="Q7" s="380" t="s">
        <v>178</v>
      </c>
      <c r="R7" s="381"/>
      <c r="S7" s="382"/>
      <c r="T7" s="44" t="s">
        <v>18</v>
      </c>
      <c r="U7" s="380"/>
      <c r="V7" s="381"/>
      <c r="W7" s="382"/>
      <c r="X7" s="226"/>
      <c r="Y7" s="46" t="s">
        <v>74</v>
      </c>
      <c r="Z7" s="46" t="s">
        <v>75</v>
      </c>
      <c r="AA7" s="46" t="s">
        <v>76</v>
      </c>
      <c r="AB7" s="37"/>
    </row>
    <row r="8" spans="1:28" s="38" customFormat="1" ht="16.5" customHeight="1">
      <c r="A8" s="37"/>
      <c r="B8" s="39"/>
      <c r="C8" s="233"/>
      <c r="D8" s="370"/>
      <c r="E8" s="39" t="s">
        <v>183</v>
      </c>
      <c r="F8" s="39" t="s">
        <v>15</v>
      </c>
      <c r="G8" s="39" t="s">
        <v>16</v>
      </c>
      <c r="H8" s="339"/>
      <c r="I8" s="123" t="s">
        <v>174</v>
      </c>
      <c r="J8" s="39" t="s">
        <v>15</v>
      </c>
      <c r="K8" s="39" t="s">
        <v>16</v>
      </c>
      <c r="L8" s="39" t="s">
        <v>175</v>
      </c>
      <c r="M8" s="39" t="s">
        <v>20</v>
      </c>
      <c r="N8" s="39" t="s">
        <v>128</v>
      </c>
      <c r="O8" s="39" t="s">
        <v>123</v>
      </c>
      <c r="P8" s="39" t="s">
        <v>184</v>
      </c>
      <c r="Q8" s="39" t="s">
        <v>18</v>
      </c>
      <c r="R8" s="39" t="s">
        <v>19</v>
      </c>
      <c r="S8" s="39" t="s">
        <v>20</v>
      </c>
      <c r="T8" s="39" t="s">
        <v>179</v>
      </c>
      <c r="U8" s="39" t="s">
        <v>18</v>
      </c>
      <c r="V8" s="39" t="s">
        <v>19</v>
      </c>
      <c r="W8" s="39" t="s">
        <v>20</v>
      </c>
      <c r="X8" s="226"/>
      <c r="Y8" s="152">
        <f>Testo!$J$33</f>
        <v>0.5</v>
      </c>
      <c r="Z8" s="152">
        <f>Testo!$J$33</f>
        <v>0.5</v>
      </c>
      <c r="AA8" s="46"/>
      <c r="AB8" s="37"/>
    </row>
    <row r="9" spans="1:31" s="38" customFormat="1" ht="16.5" customHeight="1">
      <c r="A9" s="37"/>
      <c r="B9" s="284">
        <v>1</v>
      </c>
      <c r="C9" s="284">
        <f>B9+1</f>
        <v>2</v>
      </c>
      <c r="D9" s="284">
        <f>C9+1</f>
        <v>3</v>
      </c>
      <c r="E9" s="284">
        <f>D9+1</f>
        <v>4</v>
      </c>
      <c r="F9" s="284">
        <f aca="true" t="shared" si="0" ref="F9:AA9">E9+1</f>
        <v>5</v>
      </c>
      <c r="G9" s="284">
        <f t="shared" si="0"/>
        <v>6</v>
      </c>
      <c r="H9" s="284">
        <f t="shared" si="0"/>
        <v>7</v>
      </c>
      <c r="I9" s="284">
        <f t="shared" si="0"/>
        <v>8</v>
      </c>
      <c r="J9" s="284">
        <f t="shared" si="0"/>
        <v>9</v>
      </c>
      <c r="K9" s="284">
        <f t="shared" si="0"/>
        <v>10</v>
      </c>
      <c r="L9" s="284">
        <f t="shared" si="0"/>
        <v>11</v>
      </c>
      <c r="M9" s="284">
        <f t="shared" si="0"/>
        <v>12</v>
      </c>
      <c r="N9" s="284">
        <f t="shared" si="0"/>
        <v>13</v>
      </c>
      <c r="O9" s="284">
        <f t="shared" si="0"/>
        <v>14</v>
      </c>
      <c r="P9" s="284">
        <f t="shared" si="0"/>
        <v>15</v>
      </c>
      <c r="Q9" s="284">
        <f t="shared" si="0"/>
        <v>16</v>
      </c>
      <c r="R9" s="284">
        <f t="shared" si="0"/>
        <v>17</v>
      </c>
      <c r="S9" s="284">
        <f t="shared" si="0"/>
        <v>18</v>
      </c>
      <c r="T9" s="284">
        <f t="shared" si="0"/>
        <v>19</v>
      </c>
      <c r="U9" s="284">
        <f t="shared" si="0"/>
        <v>20</v>
      </c>
      <c r="V9" s="284">
        <f t="shared" si="0"/>
        <v>21</v>
      </c>
      <c r="W9" s="284">
        <f t="shared" si="0"/>
        <v>22</v>
      </c>
      <c r="X9" s="284">
        <f t="shared" si="0"/>
        <v>23</v>
      </c>
      <c r="Y9" s="284">
        <f t="shared" si="0"/>
        <v>24</v>
      </c>
      <c r="Z9" s="284">
        <f t="shared" si="0"/>
        <v>25</v>
      </c>
      <c r="AA9" s="284">
        <f t="shared" si="0"/>
        <v>26</v>
      </c>
      <c r="AB9" s="37"/>
      <c r="AD9" s="47" t="s">
        <v>187</v>
      </c>
      <c r="AE9" s="47" t="s">
        <v>188</v>
      </c>
    </row>
    <row r="10" spans="1:31" s="38" customFormat="1" ht="16.5" customHeight="1" hidden="1">
      <c r="A10" s="37"/>
      <c r="B10" s="172">
        <v>0</v>
      </c>
      <c r="C10" s="172"/>
      <c r="D10" s="172"/>
      <c r="E10" s="172">
        <v>0</v>
      </c>
      <c r="F10" s="172">
        <v>0</v>
      </c>
      <c r="G10" s="172">
        <v>0</v>
      </c>
      <c r="H10" s="172">
        <v>0</v>
      </c>
      <c r="I10" s="172">
        <v>0</v>
      </c>
      <c r="J10" s="172">
        <v>0</v>
      </c>
      <c r="K10" s="172">
        <v>0</v>
      </c>
      <c r="L10" s="172">
        <v>0</v>
      </c>
      <c r="M10" s="172">
        <v>0</v>
      </c>
      <c r="N10" s="172">
        <v>0</v>
      </c>
      <c r="O10" s="172">
        <v>0</v>
      </c>
      <c r="P10" s="172">
        <v>0</v>
      </c>
      <c r="Q10" s="172">
        <v>0</v>
      </c>
      <c r="R10" s="172">
        <v>0</v>
      </c>
      <c r="S10" s="172">
        <v>0</v>
      </c>
      <c r="T10" s="172">
        <v>0</v>
      </c>
      <c r="U10" s="172">
        <v>0</v>
      </c>
      <c r="V10" s="172">
        <v>0</v>
      </c>
      <c r="W10" s="172">
        <v>0</v>
      </c>
      <c r="X10" s="172">
        <v>0</v>
      </c>
      <c r="Y10" s="172">
        <v>0</v>
      </c>
      <c r="Z10" s="172">
        <v>0</v>
      </c>
      <c r="AA10" s="172">
        <v>0</v>
      </c>
      <c r="AB10" s="37"/>
      <c r="AD10" s="47"/>
      <c r="AE10" s="47"/>
    </row>
    <row r="11" spans="1:31" s="51" customFormat="1" ht="16.5" customHeight="1">
      <c r="A11" s="37"/>
      <c r="B11" s="154">
        <v>1</v>
      </c>
      <c r="C11" s="270"/>
      <c r="D11" s="270"/>
      <c r="E11" s="50">
        <f>Curdura!B5</f>
        <v>300</v>
      </c>
      <c r="F11" s="50">
        <f>Curdura!C5</f>
        <v>1400</v>
      </c>
      <c r="G11" s="50">
        <f>Curdura!D5</f>
        <v>1700</v>
      </c>
      <c r="H11" s="196">
        <f aca="true" t="shared" si="1" ref="H11:H20">$Y$2</f>
        <v>3</v>
      </c>
      <c r="I11" s="197">
        <f aca="true" t="shared" si="2" ref="I11:I20">CHOOSE(H11,Y11,Z11,AA11)</f>
        <v>1</v>
      </c>
      <c r="J11" s="50">
        <f aca="true" t="shared" si="3" ref="J11:J20">$AD$4*I11</f>
        <v>1000</v>
      </c>
      <c r="K11" s="50">
        <f aca="true" t="shared" si="4" ref="K11:K20">$AE$4*I11</f>
        <v>1100</v>
      </c>
      <c r="L11" s="50">
        <f aca="true" t="shared" si="5" ref="L11:L20">$AF$4*I11</f>
        <v>2500</v>
      </c>
      <c r="M11" s="50">
        <f>J11</f>
        <v>1000</v>
      </c>
      <c r="N11" s="50">
        <f>MIN(M11,F11)</f>
        <v>1000</v>
      </c>
      <c r="O11" s="50">
        <f>MAX(F11-M11,0)</f>
        <v>400</v>
      </c>
      <c r="P11" s="50">
        <f>MAX(M11-F11,0)</f>
        <v>0</v>
      </c>
      <c r="Q11" s="40">
        <f>MIN(K11,G11)</f>
        <v>1100</v>
      </c>
      <c r="R11" s="50">
        <f>MAX(G11-Q11,0)</f>
        <v>600</v>
      </c>
      <c r="S11" s="50">
        <f>Q11+R11</f>
        <v>1700</v>
      </c>
      <c r="T11" s="50">
        <f>MAX(K11-Q11,0)</f>
        <v>0</v>
      </c>
      <c r="U11" s="50">
        <f>L11</f>
        <v>2500</v>
      </c>
      <c r="V11" s="50">
        <f>R11/$AG$3</f>
        <v>681.8181818181819</v>
      </c>
      <c r="W11" s="50">
        <f>U11+V11</f>
        <v>3181.818181818182</v>
      </c>
      <c r="X11" s="56">
        <v>1</v>
      </c>
      <c r="Y11" s="52">
        <f aca="true" t="shared" si="6" ref="Y11:Y20">MAX(MIN(1,F11/$AD$4),$Y$8)</f>
        <v>1</v>
      </c>
      <c r="Z11" s="52">
        <f aca="true" t="shared" si="7" ref="Z11:Z20">MAX(MIN(1,G11/$AE$4),$Z$8)</f>
        <v>1</v>
      </c>
      <c r="AA11" s="52">
        <f aca="true" t="shared" si="8" ref="AA11:AA20">MAX(Y11,Z11)</f>
        <v>1</v>
      </c>
      <c r="AB11" s="37"/>
      <c r="AC11" s="41"/>
      <c r="AD11" s="282">
        <v>1</v>
      </c>
      <c r="AE11" s="50">
        <f>B11</f>
        <v>1</v>
      </c>
    </row>
    <row r="12" spans="1:31" s="51" customFormat="1" ht="16.5" customHeight="1">
      <c r="A12" s="37"/>
      <c r="B12" s="154">
        <f>B11+1</f>
        <v>2</v>
      </c>
      <c r="C12" s="270"/>
      <c r="D12" s="270"/>
      <c r="E12" s="50">
        <f>Curdura!B6</f>
        <v>300</v>
      </c>
      <c r="F12" s="50">
        <f>Curdura!C6</f>
        <v>1200</v>
      </c>
      <c r="G12" s="50">
        <f>Curdura!D6</f>
        <v>1200</v>
      </c>
      <c r="H12" s="196">
        <f t="shared" si="1"/>
        <v>3</v>
      </c>
      <c r="I12" s="197">
        <f t="shared" si="2"/>
        <v>1</v>
      </c>
      <c r="J12" s="50">
        <f t="shared" si="3"/>
        <v>1000</v>
      </c>
      <c r="K12" s="50">
        <f t="shared" si="4"/>
        <v>1100</v>
      </c>
      <c r="L12" s="50">
        <f t="shared" si="5"/>
        <v>2500</v>
      </c>
      <c r="M12" s="50">
        <f aca="true" t="shared" si="9" ref="M12:M20">J12</f>
        <v>1000</v>
      </c>
      <c r="N12" s="50">
        <f aca="true" t="shared" si="10" ref="N12:N20">MIN(M12,F12)</f>
        <v>1000</v>
      </c>
      <c r="O12" s="50">
        <f aca="true" t="shared" si="11" ref="O12:O20">MAX(F12-M12,0)</f>
        <v>200</v>
      </c>
      <c r="P12" s="50">
        <f aca="true" t="shared" si="12" ref="P12:P20">MAX(M12-F12,0)</f>
        <v>0</v>
      </c>
      <c r="Q12" s="40">
        <f aca="true" t="shared" si="13" ref="Q12:Q20">MIN(K12,G12)</f>
        <v>1100</v>
      </c>
      <c r="R12" s="50">
        <f aca="true" t="shared" si="14" ref="R12:R20">MAX(G12-Q12,0)</f>
        <v>100</v>
      </c>
      <c r="S12" s="50">
        <f aca="true" t="shared" si="15" ref="S12:S20">Q12+R12</f>
        <v>1200</v>
      </c>
      <c r="T12" s="50">
        <f aca="true" t="shared" si="16" ref="T12:T20">MAX(K12-Q12,0)</f>
        <v>0</v>
      </c>
      <c r="U12" s="50">
        <f aca="true" t="shared" si="17" ref="U12:U20">L12</f>
        <v>2500</v>
      </c>
      <c r="V12" s="50">
        <f aca="true" t="shared" si="18" ref="V12:V20">R12/$AG$3</f>
        <v>113.63636363636364</v>
      </c>
      <c r="W12" s="50">
        <f aca="true" t="shared" si="19" ref="W12:W20">U12+V12</f>
        <v>2613.6363636363635</v>
      </c>
      <c r="X12" s="56">
        <v>2</v>
      </c>
      <c r="Y12" s="52">
        <f t="shared" si="6"/>
        <v>1</v>
      </c>
      <c r="Z12" s="52">
        <f t="shared" si="7"/>
        <v>1</v>
      </c>
      <c r="AA12" s="52">
        <f t="shared" si="8"/>
        <v>1</v>
      </c>
      <c r="AB12" s="37"/>
      <c r="AC12" s="41"/>
      <c r="AD12" s="282">
        <v>1</v>
      </c>
      <c r="AE12" s="50">
        <f aca="true" t="shared" si="20" ref="AE12:AE20">B12</f>
        <v>2</v>
      </c>
    </row>
    <row r="13" spans="1:31" s="51" customFormat="1" ht="16.5" customHeight="1">
      <c r="A13" s="37"/>
      <c r="B13" s="154">
        <f aca="true" t="shared" si="21" ref="B13:B20">B12+1</f>
        <v>3</v>
      </c>
      <c r="C13" s="270"/>
      <c r="D13" s="270"/>
      <c r="E13" s="102">
        <f>Curdura!B7</f>
        <v>400</v>
      </c>
      <c r="F13" s="102">
        <f>Curdura!C7</f>
        <v>1100</v>
      </c>
      <c r="G13" s="102">
        <f>Curdura!D7</f>
        <v>1050</v>
      </c>
      <c r="H13" s="196">
        <f t="shared" si="1"/>
        <v>3</v>
      </c>
      <c r="I13" s="197">
        <f t="shared" si="2"/>
        <v>1</v>
      </c>
      <c r="J13" s="50">
        <f t="shared" si="3"/>
        <v>1000</v>
      </c>
      <c r="K13" s="50">
        <f t="shared" si="4"/>
        <v>1100</v>
      </c>
      <c r="L13" s="50">
        <f t="shared" si="5"/>
        <v>2500</v>
      </c>
      <c r="M13" s="50">
        <f t="shared" si="9"/>
        <v>1000</v>
      </c>
      <c r="N13" s="50">
        <f t="shared" si="10"/>
        <v>1000</v>
      </c>
      <c r="O13" s="50">
        <f t="shared" si="11"/>
        <v>100</v>
      </c>
      <c r="P13" s="50">
        <f t="shared" si="12"/>
        <v>0</v>
      </c>
      <c r="Q13" s="40">
        <f t="shared" si="13"/>
        <v>1050</v>
      </c>
      <c r="R13" s="50">
        <f t="shared" si="14"/>
        <v>0</v>
      </c>
      <c r="S13" s="50">
        <f t="shared" si="15"/>
        <v>1050</v>
      </c>
      <c r="T13" s="50">
        <f t="shared" si="16"/>
        <v>50</v>
      </c>
      <c r="U13" s="50">
        <f t="shared" si="17"/>
        <v>2500</v>
      </c>
      <c r="V13" s="50">
        <f t="shared" si="18"/>
        <v>0</v>
      </c>
      <c r="W13" s="50">
        <f t="shared" si="19"/>
        <v>2500</v>
      </c>
      <c r="X13" s="56">
        <v>3</v>
      </c>
      <c r="Y13" s="100">
        <f t="shared" si="6"/>
        <v>1</v>
      </c>
      <c r="Z13" s="100">
        <f t="shared" si="7"/>
        <v>0.9545454545454546</v>
      </c>
      <c r="AA13" s="100">
        <f t="shared" si="8"/>
        <v>1</v>
      </c>
      <c r="AB13" s="37"/>
      <c r="AC13" s="41"/>
      <c r="AD13" s="283">
        <v>2</v>
      </c>
      <c r="AE13" s="50">
        <f t="shared" si="20"/>
        <v>3</v>
      </c>
    </row>
    <row r="14" spans="1:31" s="51" customFormat="1" ht="16.5" customHeight="1">
      <c r="A14" s="37"/>
      <c r="B14" s="154">
        <f t="shared" si="21"/>
        <v>4</v>
      </c>
      <c r="C14" s="270"/>
      <c r="D14" s="270"/>
      <c r="E14" s="102">
        <f>Curdura!B8</f>
        <v>500</v>
      </c>
      <c r="F14" s="102">
        <f>Curdura!C8</f>
        <v>1000</v>
      </c>
      <c r="G14" s="102">
        <f>Curdura!D8</f>
        <v>1200</v>
      </c>
      <c r="H14" s="196">
        <f t="shared" si="1"/>
        <v>3</v>
      </c>
      <c r="I14" s="197">
        <f t="shared" si="2"/>
        <v>1</v>
      </c>
      <c r="J14" s="50">
        <f t="shared" si="3"/>
        <v>1000</v>
      </c>
      <c r="K14" s="50">
        <f t="shared" si="4"/>
        <v>1100</v>
      </c>
      <c r="L14" s="50">
        <f t="shared" si="5"/>
        <v>2500</v>
      </c>
      <c r="M14" s="50">
        <f t="shared" si="9"/>
        <v>1000</v>
      </c>
      <c r="N14" s="50">
        <f t="shared" si="10"/>
        <v>1000</v>
      </c>
      <c r="O14" s="50">
        <f t="shared" si="11"/>
        <v>0</v>
      </c>
      <c r="P14" s="50">
        <f t="shared" si="12"/>
        <v>0</v>
      </c>
      <c r="Q14" s="40">
        <f t="shared" si="13"/>
        <v>1100</v>
      </c>
      <c r="R14" s="50">
        <f t="shared" si="14"/>
        <v>100</v>
      </c>
      <c r="S14" s="50">
        <f t="shared" si="15"/>
        <v>1200</v>
      </c>
      <c r="T14" s="50">
        <f t="shared" si="16"/>
        <v>0</v>
      </c>
      <c r="U14" s="50">
        <f t="shared" si="17"/>
        <v>2500</v>
      </c>
      <c r="V14" s="50">
        <f t="shared" si="18"/>
        <v>113.63636363636364</v>
      </c>
      <c r="W14" s="50">
        <f t="shared" si="19"/>
        <v>2613.6363636363635</v>
      </c>
      <c r="X14" s="56">
        <v>4</v>
      </c>
      <c r="Y14" s="100">
        <f t="shared" si="6"/>
        <v>1</v>
      </c>
      <c r="Z14" s="100">
        <f t="shared" si="7"/>
        <v>1</v>
      </c>
      <c r="AA14" s="100">
        <f t="shared" si="8"/>
        <v>1</v>
      </c>
      <c r="AB14" s="37"/>
      <c r="AC14" s="41"/>
      <c r="AD14" s="283">
        <v>1</v>
      </c>
      <c r="AE14" s="50">
        <f t="shared" si="20"/>
        <v>4</v>
      </c>
    </row>
    <row r="15" spans="1:31" s="51" customFormat="1" ht="16.5" customHeight="1">
      <c r="A15" s="37"/>
      <c r="B15" s="154">
        <f t="shared" si="21"/>
        <v>5</v>
      </c>
      <c r="C15" s="270"/>
      <c r="D15" s="270"/>
      <c r="E15" s="102">
        <f>Curdura!B9</f>
        <v>600</v>
      </c>
      <c r="F15" s="102">
        <f>Curdura!C9</f>
        <v>930</v>
      </c>
      <c r="G15" s="102">
        <f>Curdura!D9</f>
        <v>1060</v>
      </c>
      <c r="H15" s="196">
        <f t="shared" si="1"/>
        <v>3</v>
      </c>
      <c r="I15" s="197">
        <f t="shared" si="2"/>
        <v>0.9636363636363636</v>
      </c>
      <c r="J15" s="50">
        <f t="shared" si="3"/>
        <v>963.6363636363636</v>
      </c>
      <c r="K15" s="50">
        <f t="shared" si="4"/>
        <v>1060</v>
      </c>
      <c r="L15" s="50">
        <f t="shared" si="5"/>
        <v>2409.090909090909</v>
      </c>
      <c r="M15" s="50">
        <f t="shared" si="9"/>
        <v>963.6363636363636</v>
      </c>
      <c r="N15" s="50">
        <f t="shared" si="10"/>
        <v>930</v>
      </c>
      <c r="O15" s="50">
        <f t="shared" si="11"/>
        <v>0</v>
      </c>
      <c r="P15" s="50">
        <f t="shared" si="12"/>
        <v>33.636363636363626</v>
      </c>
      <c r="Q15" s="40">
        <f t="shared" si="13"/>
        <v>1060</v>
      </c>
      <c r="R15" s="50">
        <f t="shared" si="14"/>
        <v>0</v>
      </c>
      <c r="S15" s="50">
        <f t="shared" si="15"/>
        <v>1060</v>
      </c>
      <c r="T15" s="50">
        <f t="shared" si="16"/>
        <v>0</v>
      </c>
      <c r="U15" s="50">
        <f t="shared" si="17"/>
        <v>2409.090909090909</v>
      </c>
      <c r="V15" s="50">
        <f t="shared" si="18"/>
        <v>0</v>
      </c>
      <c r="W15" s="50">
        <f t="shared" si="19"/>
        <v>2409.090909090909</v>
      </c>
      <c r="X15" s="56">
        <v>5</v>
      </c>
      <c r="Y15" s="100">
        <f t="shared" si="6"/>
        <v>0.93</v>
      </c>
      <c r="Z15" s="100">
        <f t="shared" si="7"/>
        <v>0.9636363636363636</v>
      </c>
      <c r="AA15" s="100">
        <f t="shared" si="8"/>
        <v>0.9636363636363636</v>
      </c>
      <c r="AB15" s="37"/>
      <c r="AC15" s="41"/>
      <c r="AD15" s="283">
        <v>3</v>
      </c>
      <c r="AE15" s="50">
        <f t="shared" si="20"/>
        <v>5</v>
      </c>
    </row>
    <row r="16" spans="1:31" s="51" customFormat="1" ht="16.5" customHeight="1">
      <c r="A16" s="37"/>
      <c r="B16" s="154">
        <f t="shared" si="21"/>
        <v>6</v>
      </c>
      <c r="C16" s="270"/>
      <c r="D16" s="270"/>
      <c r="E16" s="102">
        <f>Curdura!B10</f>
        <v>700</v>
      </c>
      <c r="F16" s="102">
        <f>Curdura!C10</f>
        <v>900</v>
      </c>
      <c r="G16" s="102">
        <f>Curdura!D10</f>
        <v>950</v>
      </c>
      <c r="H16" s="196">
        <f t="shared" si="1"/>
        <v>3</v>
      </c>
      <c r="I16" s="197">
        <f t="shared" si="2"/>
        <v>0.9</v>
      </c>
      <c r="J16" s="50">
        <f t="shared" si="3"/>
        <v>900</v>
      </c>
      <c r="K16" s="50">
        <f t="shared" si="4"/>
        <v>990</v>
      </c>
      <c r="L16" s="50">
        <f t="shared" si="5"/>
        <v>2250</v>
      </c>
      <c r="M16" s="50">
        <f t="shared" si="9"/>
        <v>900</v>
      </c>
      <c r="N16" s="50">
        <f t="shared" si="10"/>
        <v>900</v>
      </c>
      <c r="O16" s="50">
        <f t="shared" si="11"/>
        <v>0</v>
      </c>
      <c r="P16" s="50">
        <f t="shared" si="12"/>
        <v>0</v>
      </c>
      <c r="Q16" s="40">
        <f t="shared" si="13"/>
        <v>950</v>
      </c>
      <c r="R16" s="50">
        <f t="shared" si="14"/>
        <v>0</v>
      </c>
      <c r="S16" s="50">
        <f t="shared" si="15"/>
        <v>950</v>
      </c>
      <c r="T16" s="50">
        <f t="shared" si="16"/>
        <v>40</v>
      </c>
      <c r="U16" s="50">
        <f t="shared" si="17"/>
        <v>2250</v>
      </c>
      <c r="V16" s="50">
        <f t="shared" si="18"/>
        <v>0</v>
      </c>
      <c r="W16" s="50">
        <f t="shared" si="19"/>
        <v>2250</v>
      </c>
      <c r="X16" s="56">
        <v>6</v>
      </c>
      <c r="Y16" s="100">
        <f t="shared" si="6"/>
        <v>0.9</v>
      </c>
      <c r="Z16" s="100">
        <f t="shared" si="7"/>
        <v>0.8636363636363636</v>
      </c>
      <c r="AA16" s="100">
        <f t="shared" si="8"/>
        <v>0.9</v>
      </c>
      <c r="AB16" s="37"/>
      <c r="AC16" s="41"/>
      <c r="AD16" s="283">
        <v>4</v>
      </c>
      <c r="AE16" s="50">
        <f t="shared" si="20"/>
        <v>6</v>
      </c>
    </row>
    <row r="17" spans="1:31" s="51" customFormat="1" ht="16.5" customHeight="1">
      <c r="A17" s="37"/>
      <c r="B17" s="154">
        <f t="shared" si="21"/>
        <v>7</v>
      </c>
      <c r="C17" s="270"/>
      <c r="D17" s="270"/>
      <c r="E17" s="102">
        <f>Curdura!B11</f>
        <v>800</v>
      </c>
      <c r="F17" s="102">
        <f>Curdura!C11</f>
        <v>800</v>
      </c>
      <c r="G17" s="102">
        <f>Curdura!D11</f>
        <v>1000</v>
      </c>
      <c r="H17" s="196">
        <f t="shared" si="1"/>
        <v>3</v>
      </c>
      <c r="I17" s="197">
        <f t="shared" si="2"/>
        <v>0.9090909090909091</v>
      </c>
      <c r="J17" s="50">
        <f t="shared" si="3"/>
        <v>909.090909090909</v>
      </c>
      <c r="K17" s="50">
        <f t="shared" si="4"/>
        <v>1000</v>
      </c>
      <c r="L17" s="50">
        <f t="shared" si="5"/>
        <v>2272.7272727272725</v>
      </c>
      <c r="M17" s="50">
        <f t="shared" si="9"/>
        <v>909.090909090909</v>
      </c>
      <c r="N17" s="50">
        <f t="shared" si="10"/>
        <v>800</v>
      </c>
      <c r="O17" s="50">
        <f t="shared" si="11"/>
        <v>0</v>
      </c>
      <c r="P17" s="50">
        <f t="shared" si="12"/>
        <v>109.09090909090901</v>
      </c>
      <c r="Q17" s="40">
        <f t="shared" si="13"/>
        <v>1000</v>
      </c>
      <c r="R17" s="50">
        <f t="shared" si="14"/>
        <v>0</v>
      </c>
      <c r="S17" s="50">
        <f t="shared" si="15"/>
        <v>1000</v>
      </c>
      <c r="T17" s="50">
        <f t="shared" si="16"/>
        <v>0</v>
      </c>
      <c r="U17" s="50">
        <f t="shared" si="17"/>
        <v>2272.7272727272725</v>
      </c>
      <c r="V17" s="50">
        <f t="shared" si="18"/>
        <v>0</v>
      </c>
      <c r="W17" s="50">
        <f t="shared" si="19"/>
        <v>2272.7272727272725</v>
      </c>
      <c r="X17" s="56">
        <v>7</v>
      </c>
      <c r="Y17" s="100">
        <f t="shared" si="6"/>
        <v>0.8</v>
      </c>
      <c r="Z17" s="100">
        <f t="shared" si="7"/>
        <v>0.9090909090909091</v>
      </c>
      <c r="AA17" s="100">
        <f t="shared" si="8"/>
        <v>0.9090909090909091</v>
      </c>
      <c r="AB17" s="37"/>
      <c r="AC17" s="41"/>
      <c r="AD17" s="283">
        <v>3</v>
      </c>
      <c r="AE17" s="50">
        <f t="shared" si="20"/>
        <v>7</v>
      </c>
    </row>
    <row r="18" spans="1:31" s="51" customFormat="1" ht="16.5" customHeight="1">
      <c r="A18" s="37"/>
      <c r="B18" s="154">
        <f t="shared" si="21"/>
        <v>8</v>
      </c>
      <c r="C18" s="270"/>
      <c r="D18" s="270"/>
      <c r="E18" s="102">
        <f>Curdura!B12</f>
        <v>1000</v>
      </c>
      <c r="F18" s="102">
        <f>Curdura!C12</f>
        <v>800</v>
      </c>
      <c r="G18" s="102">
        <f>Curdura!D12</f>
        <v>700</v>
      </c>
      <c r="H18" s="196">
        <f t="shared" si="1"/>
        <v>3</v>
      </c>
      <c r="I18" s="197">
        <f t="shared" si="2"/>
        <v>0.8</v>
      </c>
      <c r="J18" s="50">
        <f t="shared" si="3"/>
        <v>800</v>
      </c>
      <c r="K18" s="50">
        <f t="shared" si="4"/>
        <v>880</v>
      </c>
      <c r="L18" s="50">
        <f t="shared" si="5"/>
        <v>2000</v>
      </c>
      <c r="M18" s="50">
        <f t="shared" si="9"/>
        <v>800</v>
      </c>
      <c r="N18" s="50">
        <f t="shared" si="10"/>
        <v>800</v>
      </c>
      <c r="O18" s="50">
        <f t="shared" si="11"/>
        <v>0</v>
      </c>
      <c r="P18" s="50">
        <f t="shared" si="12"/>
        <v>0</v>
      </c>
      <c r="Q18" s="40">
        <f t="shared" si="13"/>
        <v>700</v>
      </c>
      <c r="R18" s="50">
        <f t="shared" si="14"/>
        <v>0</v>
      </c>
      <c r="S18" s="50">
        <f t="shared" si="15"/>
        <v>700</v>
      </c>
      <c r="T18" s="50">
        <f t="shared" si="16"/>
        <v>180</v>
      </c>
      <c r="U18" s="50">
        <f t="shared" si="17"/>
        <v>2000</v>
      </c>
      <c r="V18" s="50">
        <f t="shared" si="18"/>
        <v>0</v>
      </c>
      <c r="W18" s="50">
        <f t="shared" si="19"/>
        <v>2000</v>
      </c>
      <c r="X18" s="56">
        <v>8</v>
      </c>
      <c r="Y18" s="100">
        <f t="shared" si="6"/>
        <v>0.8</v>
      </c>
      <c r="Z18" s="100">
        <f t="shared" si="7"/>
        <v>0.6363636363636364</v>
      </c>
      <c r="AA18" s="100">
        <f t="shared" si="8"/>
        <v>0.8</v>
      </c>
      <c r="AB18" s="37"/>
      <c r="AC18" s="41"/>
      <c r="AD18" s="283">
        <v>4</v>
      </c>
      <c r="AE18" s="50">
        <f t="shared" si="20"/>
        <v>8</v>
      </c>
    </row>
    <row r="19" spans="1:31" s="51" customFormat="1" ht="16.5" customHeight="1">
      <c r="A19" s="37"/>
      <c r="B19" s="154">
        <f t="shared" si="21"/>
        <v>9</v>
      </c>
      <c r="C19" s="270"/>
      <c r="D19" s="270"/>
      <c r="E19" s="102">
        <f>Curdura!B13</f>
        <v>800</v>
      </c>
      <c r="F19" s="102">
        <f>Curdura!C13</f>
        <v>450</v>
      </c>
      <c r="G19" s="102">
        <f>Curdura!D13</f>
        <v>450</v>
      </c>
      <c r="H19" s="196">
        <f t="shared" si="1"/>
        <v>3</v>
      </c>
      <c r="I19" s="197">
        <f t="shared" si="2"/>
        <v>0.5</v>
      </c>
      <c r="J19" s="50">
        <f t="shared" si="3"/>
        <v>500</v>
      </c>
      <c r="K19" s="50">
        <f t="shared" si="4"/>
        <v>550</v>
      </c>
      <c r="L19" s="50">
        <f t="shared" si="5"/>
        <v>1250</v>
      </c>
      <c r="M19" s="50">
        <f t="shared" si="9"/>
        <v>500</v>
      </c>
      <c r="N19" s="50">
        <f t="shared" si="10"/>
        <v>450</v>
      </c>
      <c r="O19" s="50">
        <f t="shared" si="11"/>
        <v>0</v>
      </c>
      <c r="P19" s="50">
        <f t="shared" si="12"/>
        <v>50</v>
      </c>
      <c r="Q19" s="40">
        <f t="shared" si="13"/>
        <v>450</v>
      </c>
      <c r="R19" s="50">
        <f t="shared" si="14"/>
        <v>0</v>
      </c>
      <c r="S19" s="50">
        <f t="shared" si="15"/>
        <v>450</v>
      </c>
      <c r="T19" s="50">
        <f t="shared" si="16"/>
        <v>100</v>
      </c>
      <c r="U19" s="50">
        <f t="shared" si="17"/>
        <v>1250</v>
      </c>
      <c r="V19" s="50">
        <f t="shared" si="18"/>
        <v>0</v>
      </c>
      <c r="W19" s="50">
        <f t="shared" si="19"/>
        <v>1250</v>
      </c>
      <c r="X19" s="56">
        <v>9</v>
      </c>
      <c r="Y19" s="100">
        <f t="shared" si="6"/>
        <v>0.5</v>
      </c>
      <c r="Z19" s="100">
        <f t="shared" si="7"/>
        <v>0.5</v>
      </c>
      <c r="AA19" s="100">
        <f t="shared" si="8"/>
        <v>0.5</v>
      </c>
      <c r="AB19" s="37"/>
      <c r="AC19" s="41"/>
      <c r="AD19" s="283">
        <v>5</v>
      </c>
      <c r="AE19" s="50">
        <f t="shared" si="20"/>
        <v>9</v>
      </c>
    </row>
    <row r="20" spans="1:31" s="51" customFormat="1" ht="16.5" customHeight="1">
      <c r="A20" s="37"/>
      <c r="B20" s="154">
        <f t="shared" si="21"/>
        <v>10</v>
      </c>
      <c r="C20" s="270"/>
      <c r="D20" s="270"/>
      <c r="E20" s="102">
        <f>Curdura!B14</f>
        <v>800</v>
      </c>
      <c r="F20" s="102">
        <f>Curdura!C14</f>
        <v>400</v>
      </c>
      <c r="G20" s="102">
        <f>Curdura!D14</f>
        <v>500</v>
      </c>
      <c r="H20" s="196">
        <f t="shared" si="1"/>
        <v>3</v>
      </c>
      <c r="I20" s="197">
        <f t="shared" si="2"/>
        <v>0.5</v>
      </c>
      <c r="J20" s="50">
        <f t="shared" si="3"/>
        <v>500</v>
      </c>
      <c r="K20" s="50">
        <f t="shared" si="4"/>
        <v>550</v>
      </c>
      <c r="L20" s="50">
        <f t="shared" si="5"/>
        <v>1250</v>
      </c>
      <c r="M20" s="50">
        <f t="shared" si="9"/>
        <v>500</v>
      </c>
      <c r="N20" s="50">
        <f t="shared" si="10"/>
        <v>400</v>
      </c>
      <c r="O20" s="50">
        <f t="shared" si="11"/>
        <v>0</v>
      </c>
      <c r="P20" s="50">
        <f t="shared" si="12"/>
        <v>100</v>
      </c>
      <c r="Q20" s="40">
        <f t="shared" si="13"/>
        <v>500</v>
      </c>
      <c r="R20" s="50">
        <f t="shared" si="14"/>
        <v>0</v>
      </c>
      <c r="S20" s="50">
        <f t="shared" si="15"/>
        <v>500</v>
      </c>
      <c r="T20" s="50">
        <f t="shared" si="16"/>
        <v>50</v>
      </c>
      <c r="U20" s="50">
        <f t="shared" si="17"/>
        <v>1250</v>
      </c>
      <c r="V20" s="50">
        <f t="shared" si="18"/>
        <v>0</v>
      </c>
      <c r="W20" s="50">
        <f t="shared" si="19"/>
        <v>1250</v>
      </c>
      <c r="X20" s="56">
        <v>10</v>
      </c>
      <c r="Y20" s="100">
        <f t="shared" si="6"/>
        <v>0.5</v>
      </c>
      <c r="Z20" s="100">
        <f t="shared" si="7"/>
        <v>0.5</v>
      </c>
      <c r="AA20" s="100">
        <f t="shared" si="8"/>
        <v>0.5</v>
      </c>
      <c r="AB20" s="37"/>
      <c r="AC20" s="41"/>
      <c r="AD20" s="283">
        <v>6</v>
      </c>
      <c r="AE20" s="50">
        <f t="shared" si="20"/>
        <v>10</v>
      </c>
    </row>
    <row r="21" spans="1:27" s="51" customFormat="1" ht="16.5" customHeight="1" hidden="1">
      <c r="A21" s="37"/>
      <c r="B21" s="206" t="s">
        <v>185</v>
      </c>
      <c r="C21" s="206"/>
      <c r="D21" s="206"/>
      <c r="E21" s="207">
        <f>Ene!C19</f>
        <v>6200</v>
      </c>
      <c r="F21" s="207">
        <f>Ene!D19</f>
        <v>5028</v>
      </c>
      <c r="G21" s="207">
        <f>Ene!E19</f>
        <v>5451</v>
      </c>
      <c r="H21" s="206">
        <f>Ene!F19</f>
        <v>0</v>
      </c>
      <c r="I21" s="207">
        <f>Ene!G19</f>
        <v>0</v>
      </c>
      <c r="J21" s="207">
        <f>Ene!H19</f>
        <v>5035.454545454545</v>
      </c>
      <c r="K21" s="207">
        <f>Ene!I19</f>
        <v>5539</v>
      </c>
      <c r="L21" s="207">
        <f>Ene!J19</f>
        <v>12588.636363636364</v>
      </c>
      <c r="M21" s="207">
        <f>Ene!K19</f>
        <v>5035.454545454545</v>
      </c>
      <c r="N21" s="207">
        <f>Ene!L19</f>
        <v>4808</v>
      </c>
      <c r="O21" s="207">
        <f>Ene!M19</f>
        <v>220</v>
      </c>
      <c r="P21" s="207">
        <f>Ene!N19</f>
        <v>227.45454545454538</v>
      </c>
      <c r="Q21" s="207">
        <f>Ene!O19</f>
        <v>5191</v>
      </c>
      <c r="R21" s="207">
        <f>Ene!P19</f>
        <v>260</v>
      </c>
      <c r="S21" s="207">
        <f>Ene!Q19</f>
        <v>5451</v>
      </c>
      <c r="T21" s="207">
        <f>Ene!R19</f>
        <v>348</v>
      </c>
      <c r="U21" s="207">
        <f>Ene!S19</f>
        <v>12588.636363636364</v>
      </c>
      <c r="V21" s="207">
        <f>Ene!T19</f>
        <v>295.4545454545455</v>
      </c>
      <c r="W21" s="207">
        <f>Ene!U19</f>
        <v>12884.090909090908</v>
      </c>
      <c r="X21" s="226"/>
      <c r="Y21" s="195"/>
      <c r="Z21" s="195"/>
      <c r="AA21" s="195"/>
    </row>
    <row r="22" spans="1:24" ht="16.5" customHeight="1" hidden="1">
      <c r="A22" s="37"/>
      <c r="H22" s="227"/>
      <c r="X22" s="226"/>
    </row>
    <row r="23" spans="1:24" ht="16.5" customHeight="1" hidden="1">
      <c r="A23" s="37"/>
      <c r="H23" s="227"/>
      <c r="I23" s="192"/>
      <c r="R23" s="101"/>
      <c r="X23" s="226"/>
    </row>
    <row r="24" spans="1:24" ht="16.5" customHeight="1" hidden="1">
      <c r="A24" s="37"/>
      <c r="H24" s="227"/>
      <c r="I24" s="193"/>
      <c r="N24" s="42"/>
      <c r="O24" s="42"/>
      <c r="P24" s="42"/>
      <c r="X24" s="226"/>
    </row>
    <row r="25" spans="1:24" ht="16.5" customHeight="1" hidden="1">
      <c r="A25" s="37"/>
      <c r="H25" s="227"/>
      <c r="I25" s="194"/>
      <c r="X25" s="226"/>
    </row>
    <row r="26" spans="1:24" ht="16.5" customHeight="1" hidden="1">
      <c r="A26" s="37"/>
      <c r="H26" s="227"/>
      <c r="X26" s="226"/>
    </row>
    <row r="27" spans="1:24" ht="17.25" customHeight="1" hidden="1">
      <c r="A27" s="37"/>
      <c r="H27" s="227"/>
      <c r="X27" s="226"/>
    </row>
    <row r="28" spans="1:24" ht="12.75" customHeight="1" hidden="1">
      <c r="A28" s="37"/>
      <c r="H28" s="227"/>
      <c r="X28" s="226"/>
    </row>
    <row r="29" spans="1:24" ht="12.75" customHeight="1" hidden="1">
      <c r="A29" s="37"/>
      <c r="H29" s="227"/>
      <c r="X29" s="226"/>
    </row>
    <row r="30" spans="1:24" ht="12.75">
      <c r="A30" s="37"/>
      <c r="H30" s="227"/>
      <c r="X30" s="226"/>
    </row>
    <row r="31" spans="1:24" ht="12.75">
      <c r="A31" s="37"/>
      <c r="H31" s="227"/>
      <c r="X31" s="226"/>
    </row>
    <row r="32" spans="1:24" ht="12.75">
      <c r="A32" s="37"/>
      <c r="H32" s="227"/>
      <c r="X32" s="226"/>
    </row>
    <row r="33" spans="1:24" ht="12.75">
      <c r="A33" s="37"/>
      <c r="H33" s="227"/>
      <c r="X33" s="226"/>
    </row>
    <row r="34" spans="8:24" ht="12.75" hidden="1">
      <c r="H34" s="227"/>
      <c r="X34" s="226"/>
    </row>
    <row r="35" spans="8:24" ht="12.75" hidden="1">
      <c r="H35" s="227"/>
      <c r="X35" s="226"/>
    </row>
    <row r="36" spans="8:24" ht="12.75" hidden="1">
      <c r="H36" s="227"/>
      <c r="X36" s="226"/>
    </row>
    <row r="37" spans="2:24" ht="12.75" hidden="1">
      <c r="B37" s="287" t="s">
        <v>188</v>
      </c>
      <c r="H37" s="287" t="s">
        <v>250</v>
      </c>
      <c r="X37" s="226"/>
    </row>
    <row r="38" spans="2:24" ht="12.75" hidden="1">
      <c r="B38" s="288" t="s">
        <v>252</v>
      </c>
      <c r="H38" s="288" t="s">
        <v>251</v>
      </c>
      <c r="X38" s="226"/>
    </row>
    <row r="39" spans="1:29" ht="12.75" hidden="1">
      <c r="A39" s="241">
        <v>1</v>
      </c>
      <c r="B39" s="172">
        <f>A39+1</f>
        <v>2</v>
      </c>
      <c r="C39" s="172">
        <f>B39+1</f>
        <v>3</v>
      </c>
      <c r="D39" s="172">
        <f aca="true" t="shared" si="22" ref="D39:AC39">C39+1</f>
        <v>4</v>
      </c>
      <c r="E39" s="172">
        <f t="shared" si="22"/>
        <v>5</v>
      </c>
      <c r="F39" s="172">
        <f t="shared" si="22"/>
        <v>6</v>
      </c>
      <c r="G39" s="172">
        <f t="shared" si="22"/>
        <v>7</v>
      </c>
      <c r="H39" s="172">
        <f t="shared" si="22"/>
        <v>8</v>
      </c>
      <c r="I39" s="172">
        <f t="shared" si="22"/>
        <v>9</v>
      </c>
      <c r="J39" s="172">
        <f t="shared" si="22"/>
        <v>10</v>
      </c>
      <c r="K39" s="172">
        <f t="shared" si="22"/>
        <v>11</v>
      </c>
      <c r="L39" s="172">
        <f t="shared" si="22"/>
        <v>12</v>
      </c>
      <c r="M39" s="172">
        <f t="shared" si="22"/>
        <v>13</v>
      </c>
      <c r="N39" s="172">
        <f t="shared" si="22"/>
        <v>14</v>
      </c>
      <c r="O39" s="172">
        <f t="shared" si="22"/>
        <v>15</v>
      </c>
      <c r="P39" s="172">
        <f t="shared" si="22"/>
        <v>16</v>
      </c>
      <c r="Q39" s="172">
        <f t="shared" si="22"/>
        <v>17</v>
      </c>
      <c r="R39" s="172">
        <f t="shared" si="22"/>
        <v>18</v>
      </c>
      <c r="S39" s="172">
        <f t="shared" si="22"/>
        <v>19</v>
      </c>
      <c r="T39" s="172">
        <f t="shared" si="22"/>
        <v>20</v>
      </c>
      <c r="U39" s="172">
        <f t="shared" si="22"/>
        <v>21</v>
      </c>
      <c r="V39" s="172">
        <f t="shared" si="22"/>
        <v>22</v>
      </c>
      <c r="W39" s="172">
        <f t="shared" si="22"/>
        <v>23</v>
      </c>
      <c r="X39" s="172">
        <f t="shared" si="22"/>
        <v>24</v>
      </c>
      <c r="Y39" s="172">
        <f t="shared" si="22"/>
        <v>25</v>
      </c>
      <c r="Z39" s="172">
        <f t="shared" si="22"/>
        <v>26</v>
      </c>
      <c r="AA39" s="172">
        <f t="shared" si="22"/>
        <v>27</v>
      </c>
      <c r="AB39" s="172">
        <f t="shared" si="22"/>
        <v>28</v>
      </c>
      <c r="AC39" s="172">
        <f t="shared" si="22"/>
        <v>29</v>
      </c>
    </row>
    <row r="40" spans="1:29" ht="12.75" hidden="1">
      <c r="A40" s="195">
        <v>0</v>
      </c>
      <c r="B40" s="195">
        <v>0</v>
      </c>
      <c r="C40" s="195">
        <v>0</v>
      </c>
      <c r="D40" s="195">
        <v>0</v>
      </c>
      <c r="E40" s="195">
        <v>0</v>
      </c>
      <c r="F40" s="195">
        <v>0</v>
      </c>
      <c r="G40" s="195">
        <v>0</v>
      </c>
      <c r="H40" s="196">
        <v>0</v>
      </c>
      <c r="I40" s="203">
        <v>0</v>
      </c>
      <c r="J40" s="195">
        <v>0</v>
      </c>
      <c r="K40" s="195">
        <v>0</v>
      </c>
      <c r="L40" s="195">
        <v>0</v>
      </c>
      <c r="M40" s="195">
        <v>0</v>
      </c>
      <c r="N40" s="195">
        <v>0</v>
      </c>
      <c r="O40" s="195">
        <v>0</v>
      </c>
      <c r="P40" s="195">
        <v>0</v>
      </c>
      <c r="Q40" s="195">
        <v>0</v>
      </c>
      <c r="R40" s="195">
        <v>0</v>
      </c>
      <c r="S40" s="195">
        <v>0</v>
      </c>
      <c r="T40" s="195">
        <v>0</v>
      </c>
      <c r="U40" s="195">
        <v>0</v>
      </c>
      <c r="V40" s="195">
        <v>0</v>
      </c>
      <c r="W40" s="195">
        <v>0</v>
      </c>
      <c r="X40" s="226"/>
      <c r="Y40" s="47">
        <v>1</v>
      </c>
      <c r="Z40" s="47">
        <v>2</v>
      </c>
      <c r="AA40" s="47">
        <v>3</v>
      </c>
      <c r="AB40" s="47">
        <v>4</v>
      </c>
      <c r="AC40" s="47">
        <v>5</v>
      </c>
    </row>
    <row r="41" spans="1:29" ht="12.75" hidden="1">
      <c r="A41" s="50">
        <v>1</v>
      </c>
      <c r="B41" s="198">
        <v>1</v>
      </c>
      <c r="C41" s="234"/>
      <c r="D41" s="245" t="s">
        <v>172</v>
      </c>
      <c r="E41" s="50">
        <f>IF($B41&gt;0,VLOOKUP($B41,DbC,2),0)</f>
        <v>300</v>
      </c>
      <c r="F41" s="50">
        <f>IF($B41&gt;0,VLOOKUP($B41,DbC,3),0)</f>
        <v>1400</v>
      </c>
      <c r="G41" s="50">
        <f>IF($B41&gt;0,VLOOKUP($B41,DbC,4),0)</f>
        <v>1700</v>
      </c>
      <c r="H41" s="199">
        <v>1</v>
      </c>
      <c r="I41" s="197">
        <f>CHOOSE(H41,Y41,Z41,AA41,AB41,AC41)</f>
        <v>1</v>
      </c>
      <c r="J41" s="50">
        <f aca="true" t="shared" si="23" ref="J41:J60">$AD$4*I41</f>
        <v>1000</v>
      </c>
      <c r="K41" s="50">
        <f aca="true" t="shared" si="24" ref="K41:K60">$AE$4*I41</f>
        <v>1100</v>
      </c>
      <c r="L41" s="50">
        <f aca="true" t="shared" si="25" ref="L41:L60">$AF$4*I41</f>
        <v>2500</v>
      </c>
      <c r="M41" s="50">
        <f aca="true" t="shared" si="26" ref="M41:M60">J41</f>
        <v>1000</v>
      </c>
      <c r="N41" s="50">
        <f aca="true" t="shared" si="27" ref="N41:N60">MIN(M41,F41)</f>
        <v>1000</v>
      </c>
      <c r="O41" s="50">
        <f aca="true" t="shared" si="28" ref="O41:O60">MAX(F41-M41,0)</f>
        <v>400</v>
      </c>
      <c r="P41" s="50">
        <f aca="true" t="shared" si="29" ref="P41:P60">MAX(M41-F41,0)</f>
        <v>0</v>
      </c>
      <c r="Q41" s="40">
        <f aca="true" t="shared" si="30" ref="Q41:Q60">MIN(K41,G41)</f>
        <v>1100</v>
      </c>
      <c r="R41" s="50">
        <f aca="true" t="shared" si="31" ref="R41:R60">MAX(G41-Q41,0)</f>
        <v>600</v>
      </c>
      <c r="S41" s="50">
        <f aca="true" t="shared" si="32" ref="S41:S60">Q41+R41</f>
        <v>1700</v>
      </c>
      <c r="T41" s="50">
        <f aca="true" t="shared" si="33" ref="T41:T60">MAX(K41-Q41,0)</f>
        <v>0</v>
      </c>
      <c r="U41" s="50">
        <f aca="true" t="shared" si="34" ref="U41:U60">L41</f>
        <v>2500</v>
      </c>
      <c r="V41" s="50">
        <f aca="true" t="shared" si="35" ref="V41:V60">R41/$AG$3</f>
        <v>681.8181818181819</v>
      </c>
      <c r="W41" s="50">
        <f aca="true" t="shared" si="36" ref="W41:W60">U41+V41</f>
        <v>3181.818181818182</v>
      </c>
      <c r="X41" s="226"/>
      <c r="Y41" s="52">
        <f aca="true" t="shared" si="37" ref="Y41:Y60">MAX(MIN(1,F41/$AD$4),$Y$8)</f>
        <v>1</v>
      </c>
      <c r="Z41" s="52">
        <f aca="true" t="shared" si="38" ref="Z41:Z60">MAX(MIN(1,G41/$AE$4),$Z$8)</f>
        <v>1</v>
      </c>
      <c r="AA41" s="52">
        <f aca="true" t="shared" si="39" ref="AA41:AA60">MAX(Y41,Z41)</f>
        <v>1</v>
      </c>
      <c r="AB41" s="285"/>
      <c r="AC41" s="285"/>
    </row>
    <row r="42" spans="1:29" ht="12.75" hidden="1">
      <c r="A42" s="50">
        <f>A41+1</f>
        <v>2</v>
      </c>
      <c r="B42" s="198">
        <v>3</v>
      </c>
      <c r="C42" s="234" t="s">
        <v>217</v>
      </c>
      <c r="D42" s="246"/>
      <c r="E42" s="50">
        <f aca="true" t="shared" si="40" ref="E42:E60">IF($B42&gt;0,VLOOKUP($B42,DbC,2),0)</f>
        <v>400</v>
      </c>
      <c r="F42" s="50">
        <f aca="true" t="shared" si="41" ref="F42:F60">IF($B42&gt;0,VLOOKUP($B42,DbC,3),0)</f>
        <v>1100</v>
      </c>
      <c r="G42" s="50">
        <f aca="true" t="shared" si="42" ref="G42:G60">IF($B42&gt;0,VLOOKUP($B42,DbC,4),0)</f>
        <v>1050</v>
      </c>
      <c r="H42" s="199">
        <v>1</v>
      </c>
      <c r="I42" s="197">
        <f aca="true" t="shared" si="43" ref="I42:I60">CHOOSE(H42,Y42,Z42,AA42,AB42,AC42)</f>
        <v>1</v>
      </c>
      <c r="J42" s="50">
        <f t="shared" si="23"/>
        <v>1000</v>
      </c>
      <c r="K42" s="50">
        <f t="shared" si="24"/>
        <v>1100</v>
      </c>
      <c r="L42" s="50">
        <f t="shared" si="25"/>
        <v>2500</v>
      </c>
      <c r="M42" s="50">
        <f t="shared" si="26"/>
        <v>1000</v>
      </c>
      <c r="N42" s="50">
        <f t="shared" si="27"/>
        <v>1000</v>
      </c>
      <c r="O42" s="50">
        <f t="shared" si="28"/>
        <v>100</v>
      </c>
      <c r="P42" s="50">
        <f t="shared" si="29"/>
        <v>0</v>
      </c>
      <c r="Q42" s="40">
        <f t="shared" si="30"/>
        <v>1050</v>
      </c>
      <c r="R42" s="50">
        <f t="shared" si="31"/>
        <v>0</v>
      </c>
      <c r="S42" s="50">
        <f t="shared" si="32"/>
        <v>1050</v>
      </c>
      <c r="T42" s="50">
        <f t="shared" si="33"/>
        <v>50</v>
      </c>
      <c r="U42" s="50">
        <f t="shared" si="34"/>
        <v>2500</v>
      </c>
      <c r="V42" s="50">
        <f t="shared" si="35"/>
        <v>0</v>
      </c>
      <c r="W42" s="50">
        <f t="shared" si="36"/>
        <v>2500</v>
      </c>
      <c r="X42" s="226"/>
      <c r="Y42" s="52">
        <f t="shared" si="37"/>
        <v>1</v>
      </c>
      <c r="Z42" s="52">
        <f t="shared" si="38"/>
        <v>0.9545454545454546</v>
      </c>
      <c r="AA42" s="52">
        <f t="shared" si="39"/>
        <v>1</v>
      </c>
      <c r="AB42" s="285"/>
      <c r="AC42" s="285"/>
    </row>
    <row r="43" spans="1:29" ht="12.75" hidden="1">
      <c r="A43" s="50">
        <f aca="true" t="shared" si="44" ref="A43:A60">A42+1</f>
        <v>3</v>
      </c>
      <c r="B43" s="198">
        <v>3</v>
      </c>
      <c r="C43" s="234" t="s">
        <v>218</v>
      </c>
      <c r="D43" s="246"/>
      <c r="E43" s="50">
        <f t="shared" si="40"/>
        <v>400</v>
      </c>
      <c r="F43" s="50">
        <f t="shared" si="41"/>
        <v>1100</v>
      </c>
      <c r="G43" s="50">
        <f t="shared" si="42"/>
        <v>1050</v>
      </c>
      <c r="H43" s="199">
        <v>2</v>
      </c>
      <c r="I43" s="197">
        <f t="shared" si="43"/>
        <v>0.9545454545454546</v>
      </c>
      <c r="J43" s="50">
        <f t="shared" si="23"/>
        <v>954.5454545454546</v>
      </c>
      <c r="K43" s="50">
        <f t="shared" si="24"/>
        <v>1050</v>
      </c>
      <c r="L43" s="50">
        <f t="shared" si="25"/>
        <v>2386.3636363636365</v>
      </c>
      <c r="M43" s="50">
        <f t="shared" si="26"/>
        <v>954.5454545454546</v>
      </c>
      <c r="N43" s="50">
        <f t="shared" si="27"/>
        <v>954.5454545454546</v>
      </c>
      <c r="O43" s="50">
        <f t="shared" si="28"/>
        <v>145.45454545454538</v>
      </c>
      <c r="P43" s="50">
        <f t="shared" si="29"/>
        <v>0</v>
      </c>
      <c r="Q43" s="40">
        <f t="shared" si="30"/>
        <v>1050</v>
      </c>
      <c r="R43" s="50">
        <f t="shared" si="31"/>
        <v>0</v>
      </c>
      <c r="S43" s="50">
        <f t="shared" si="32"/>
        <v>1050</v>
      </c>
      <c r="T43" s="50">
        <f t="shared" si="33"/>
        <v>0</v>
      </c>
      <c r="U43" s="50">
        <f t="shared" si="34"/>
        <v>2386.3636363636365</v>
      </c>
      <c r="V43" s="50">
        <f t="shared" si="35"/>
        <v>0</v>
      </c>
      <c r="W43" s="50">
        <f t="shared" si="36"/>
        <v>2386.3636363636365</v>
      </c>
      <c r="X43" s="226"/>
      <c r="Y43" s="52">
        <f t="shared" si="37"/>
        <v>1</v>
      </c>
      <c r="Z43" s="52">
        <f t="shared" si="38"/>
        <v>0.9545454545454546</v>
      </c>
      <c r="AA43" s="52">
        <f t="shared" si="39"/>
        <v>1</v>
      </c>
      <c r="AB43" s="285"/>
      <c r="AC43" s="285"/>
    </row>
    <row r="44" spans="1:29" ht="12.75" hidden="1">
      <c r="A44" s="50">
        <f t="shared" si="44"/>
        <v>4</v>
      </c>
      <c r="B44" s="198">
        <v>5</v>
      </c>
      <c r="C44" s="234" t="s">
        <v>217</v>
      </c>
      <c r="D44" s="246">
        <v>7</v>
      </c>
      <c r="E44" s="50">
        <f t="shared" si="40"/>
        <v>600</v>
      </c>
      <c r="F44" s="50">
        <f t="shared" si="41"/>
        <v>930</v>
      </c>
      <c r="G44" s="50">
        <f t="shared" si="42"/>
        <v>1060</v>
      </c>
      <c r="H44" s="199">
        <v>2</v>
      </c>
      <c r="I44" s="197">
        <f t="shared" si="43"/>
        <v>0.9636363636363636</v>
      </c>
      <c r="J44" s="50">
        <f t="shared" si="23"/>
        <v>963.6363636363636</v>
      </c>
      <c r="K44" s="50">
        <f t="shared" si="24"/>
        <v>1060</v>
      </c>
      <c r="L44" s="50">
        <f t="shared" si="25"/>
        <v>2409.090909090909</v>
      </c>
      <c r="M44" s="50">
        <f t="shared" si="26"/>
        <v>963.6363636363636</v>
      </c>
      <c r="N44" s="50">
        <f t="shared" si="27"/>
        <v>930</v>
      </c>
      <c r="O44" s="50">
        <f t="shared" si="28"/>
        <v>0</v>
      </c>
      <c r="P44" s="50">
        <f t="shared" si="29"/>
        <v>33.636363636363626</v>
      </c>
      <c r="Q44" s="40">
        <f t="shared" si="30"/>
        <v>1060</v>
      </c>
      <c r="R44" s="50">
        <f t="shared" si="31"/>
        <v>0</v>
      </c>
      <c r="S44" s="50">
        <f t="shared" si="32"/>
        <v>1060</v>
      </c>
      <c r="T44" s="50">
        <f t="shared" si="33"/>
        <v>0</v>
      </c>
      <c r="U44" s="50">
        <f t="shared" si="34"/>
        <v>2409.090909090909</v>
      </c>
      <c r="V44" s="50">
        <f t="shared" si="35"/>
        <v>0</v>
      </c>
      <c r="W44" s="50">
        <f t="shared" si="36"/>
        <v>2409.090909090909</v>
      </c>
      <c r="X44" s="226"/>
      <c r="Y44" s="52">
        <f t="shared" si="37"/>
        <v>0.93</v>
      </c>
      <c r="Z44" s="52">
        <f t="shared" si="38"/>
        <v>0.9636363636363636</v>
      </c>
      <c r="AA44" s="52">
        <f t="shared" si="39"/>
        <v>0.9636363636363636</v>
      </c>
      <c r="AB44" s="285"/>
      <c r="AC44" s="285"/>
    </row>
    <row r="45" spans="1:29" ht="12.75" hidden="1">
      <c r="A45" s="50">
        <f t="shared" si="44"/>
        <v>5</v>
      </c>
      <c r="B45" s="198">
        <v>5</v>
      </c>
      <c r="C45" s="234" t="s">
        <v>218</v>
      </c>
      <c r="D45" s="246">
        <v>7</v>
      </c>
      <c r="E45" s="50">
        <f t="shared" si="40"/>
        <v>600</v>
      </c>
      <c r="F45" s="50">
        <f t="shared" si="41"/>
        <v>930</v>
      </c>
      <c r="G45" s="50">
        <f t="shared" si="42"/>
        <v>1060</v>
      </c>
      <c r="H45" s="199">
        <v>1</v>
      </c>
      <c r="I45" s="197">
        <f t="shared" si="43"/>
        <v>0.93</v>
      </c>
      <c r="J45" s="50">
        <f t="shared" si="23"/>
        <v>930</v>
      </c>
      <c r="K45" s="50">
        <f t="shared" si="24"/>
        <v>1023</v>
      </c>
      <c r="L45" s="50">
        <f t="shared" si="25"/>
        <v>2325</v>
      </c>
      <c r="M45" s="50">
        <f t="shared" si="26"/>
        <v>930</v>
      </c>
      <c r="N45" s="50">
        <f t="shared" si="27"/>
        <v>930</v>
      </c>
      <c r="O45" s="50">
        <f t="shared" si="28"/>
        <v>0</v>
      </c>
      <c r="P45" s="50">
        <f t="shared" si="29"/>
        <v>0</v>
      </c>
      <c r="Q45" s="40">
        <f t="shared" si="30"/>
        <v>1023</v>
      </c>
      <c r="R45" s="50">
        <f t="shared" si="31"/>
        <v>37</v>
      </c>
      <c r="S45" s="50">
        <f t="shared" si="32"/>
        <v>1060</v>
      </c>
      <c r="T45" s="50">
        <f t="shared" si="33"/>
        <v>0</v>
      </c>
      <c r="U45" s="50">
        <f t="shared" si="34"/>
        <v>2325</v>
      </c>
      <c r="V45" s="50">
        <f t="shared" si="35"/>
        <v>42.04545454545455</v>
      </c>
      <c r="W45" s="50">
        <f t="shared" si="36"/>
        <v>2367.0454545454545</v>
      </c>
      <c r="X45" s="226"/>
      <c r="Y45" s="52">
        <f t="shared" si="37"/>
        <v>0.93</v>
      </c>
      <c r="Z45" s="52">
        <f t="shared" si="38"/>
        <v>0.9636363636363636</v>
      </c>
      <c r="AA45" s="52">
        <f t="shared" si="39"/>
        <v>0.9636363636363636</v>
      </c>
      <c r="AB45" s="285"/>
      <c r="AC45" s="285"/>
    </row>
    <row r="46" spans="1:29" ht="12.75" hidden="1">
      <c r="A46" s="50">
        <f>A45+1</f>
        <v>6</v>
      </c>
      <c r="B46" s="198">
        <v>5</v>
      </c>
      <c r="C46" s="234" t="s">
        <v>219</v>
      </c>
      <c r="D46" s="246">
        <v>7</v>
      </c>
      <c r="E46" s="50">
        <f t="shared" si="40"/>
        <v>600</v>
      </c>
      <c r="F46" s="50">
        <f t="shared" si="41"/>
        <v>930</v>
      </c>
      <c r="G46" s="50">
        <f t="shared" si="42"/>
        <v>1060</v>
      </c>
      <c r="H46" s="199">
        <v>4</v>
      </c>
      <c r="I46" s="197">
        <f t="shared" si="43"/>
        <v>1</v>
      </c>
      <c r="J46" s="50">
        <f t="shared" si="23"/>
        <v>1000</v>
      </c>
      <c r="K46" s="50">
        <f t="shared" si="24"/>
        <v>1100</v>
      </c>
      <c r="L46" s="50">
        <f t="shared" si="25"/>
        <v>2500</v>
      </c>
      <c r="M46" s="50">
        <f t="shared" si="26"/>
        <v>1000</v>
      </c>
      <c r="N46" s="50">
        <f t="shared" si="27"/>
        <v>930</v>
      </c>
      <c r="O46" s="50">
        <f t="shared" si="28"/>
        <v>0</v>
      </c>
      <c r="P46" s="50">
        <f t="shared" si="29"/>
        <v>70</v>
      </c>
      <c r="Q46" s="40">
        <f t="shared" si="30"/>
        <v>1060</v>
      </c>
      <c r="R46" s="50">
        <f t="shared" si="31"/>
        <v>0</v>
      </c>
      <c r="S46" s="50">
        <f t="shared" si="32"/>
        <v>1060</v>
      </c>
      <c r="T46" s="50">
        <f t="shared" si="33"/>
        <v>40</v>
      </c>
      <c r="U46" s="50">
        <f t="shared" si="34"/>
        <v>2500</v>
      </c>
      <c r="V46" s="50">
        <f t="shared" si="35"/>
        <v>0</v>
      </c>
      <c r="W46" s="50">
        <f t="shared" si="36"/>
        <v>2500</v>
      </c>
      <c r="X46" s="226"/>
      <c r="Y46" s="52">
        <f t="shared" si="37"/>
        <v>0.93</v>
      </c>
      <c r="Z46" s="52">
        <f t="shared" si="38"/>
        <v>0.9636363636363636</v>
      </c>
      <c r="AA46" s="52">
        <f t="shared" si="39"/>
        <v>0.9636363636363636</v>
      </c>
      <c r="AB46" s="285">
        <v>1</v>
      </c>
      <c r="AC46" s="285"/>
    </row>
    <row r="47" spans="1:29" ht="12.75" hidden="1">
      <c r="A47" s="50">
        <f>A46+1</f>
        <v>7</v>
      </c>
      <c r="B47" s="198">
        <v>6</v>
      </c>
      <c r="C47" s="234" t="s">
        <v>217</v>
      </c>
      <c r="D47" s="246">
        <v>8</v>
      </c>
      <c r="E47" s="50">
        <f t="shared" si="40"/>
        <v>700</v>
      </c>
      <c r="F47" s="50">
        <f t="shared" si="41"/>
        <v>900</v>
      </c>
      <c r="G47" s="50">
        <f t="shared" si="42"/>
        <v>950</v>
      </c>
      <c r="H47" s="199">
        <v>1</v>
      </c>
      <c r="I47" s="197">
        <f t="shared" si="43"/>
        <v>0.9</v>
      </c>
      <c r="J47" s="50">
        <f t="shared" si="23"/>
        <v>900</v>
      </c>
      <c r="K47" s="50">
        <f t="shared" si="24"/>
        <v>990</v>
      </c>
      <c r="L47" s="50">
        <f t="shared" si="25"/>
        <v>2250</v>
      </c>
      <c r="M47" s="50">
        <f t="shared" si="26"/>
        <v>900</v>
      </c>
      <c r="N47" s="50">
        <f t="shared" si="27"/>
        <v>900</v>
      </c>
      <c r="O47" s="50">
        <f t="shared" si="28"/>
        <v>0</v>
      </c>
      <c r="P47" s="50">
        <f t="shared" si="29"/>
        <v>0</v>
      </c>
      <c r="Q47" s="40">
        <f t="shared" si="30"/>
        <v>950</v>
      </c>
      <c r="R47" s="50">
        <f t="shared" si="31"/>
        <v>0</v>
      </c>
      <c r="S47" s="50">
        <f t="shared" si="32"/>
        <v>950</v>
      </c>
      <c r="T47" s="50">
        <f t="shared" si="33"/>
        <v>40</v>
      </c>
      <c r="U47" s="50">
        <f t="shared" si="34"/>
        <v>2250</v>
      </c>
      <c r="V47" s="50">
        <f t="shared" si="35"/>
        <v>0</v>
      </c>
      <c r="W47" s="50">
        <f t="shared" si="36"/>
        <v>2250</v>
      </c>
      <c r="X47" s="226"/>
      <c r="Y47" s="52">
        <f t="shared" si="37"/>
        <v>0.9</v>
      </c>
      <c r="Z47" s="52">
        <f t="shared" si="38"/>
        <v>0.8636363636363636</v>
      </c>
      <c r="AA47" s="52">
        <f t="shared" si="39"/>
        <v>0.9</v>
      </c>
      <c r="AB47" s="285"/>
      <c r="AC47" s="285"/>
    </row>
    <row r="48" spans="1:29" ht="12.75" hidden="1">
      <c r="A48" s="50">
        <f>A47+1</f>
        <v>8</v>
      </c>
      <c r="B48" s="198">
        <v>6</v>
      </c>
      <c r="C48" s="234" t="s">
        <v>218</v>
      </c>
      <c r="D48" s="246">
        <v>8</v>
      </c>
      <c r="E48" s="50">
        <f t="shared" si="40"/>
        <v>700</v>
      </c>
      <c r="F48" s="50">
        <f t="shared" si="41"/>
        <v>900</v>
      </c>
      <c r="G48" s="50">
        <f t="shared" si="42"/>
        <v>950</v>
      </c>
      <c r="H48" s="199">
        <v>2</v>
      </c>
      <c r="I48" s="197">
        <f t="shared" si="43"/>
        <v>0.8636363636363636</v>
      </c>
      <c r="J48" s="50">
        <f t="shared" si="23"/>
        <v>863.6363636363636</v>
      </c>
      <c r="K48" s="50">
        <f t="shared" si="24"/>
        <v>950</v>
      </c>
      <c r="L48" s="50">
        <f t="shared" si="25"/>
        <v>2159.090909090909</v>
      </c>
      <c r="M48" s="50">
        <f t="shared" si="26"/>
        <v>863.6363636363636</v>
      </c>
      <c r="N48" s="50">
        <f t="shared" si="27"/>
        <v>863.6363636363636</v>
      </c>
      <c r="O48" s="50">
        <f t="shared" si="28"/>
        <v>36.363636363636374</v>
      </c>
      <c r="P48" s="50">
        <f t="shared" si="29"/>
        <v>0</v>
      </c>
      <c r="Q48" s="40">
        <f t="shared" si="30"/>
        <v>950</v>
      </c>
      <c r="R48" s="50">
        <f t="shared" si="31"/>
        <v>0</v>
      </c>
      <c r="S48" s="50">
        <f t="shared" si="32"/>
        <v>950</v>
      </c>
      <c r="T48" s="50">
        <f t="shared" si="33"/>
        <v>0</v>
      </c>
      <c r="U48" s="50">
        <f t="shared" si="34"/>
        <v>2159.090909090909</v>
      </c>
      <c r="V48" s="50">
        <f t="shared" si="35"/>
        <v>0</v>
      </c>
      <c r="W48" s="50">
        <f t="shared" si="36"/>
        <v>2159.090909090909</v>
      </c>
      <c r="X48" s="226"/>
      <c r="Y48" s="52">
        <f t="shared" si="37"/>
        <v>0.9</v>
      </c>
      <c r="Z48" s="52">
        <f t="shared" si="38"/>
        <v>0.8636363636363636</v>
      </c>
      <c r="AA48" s="52">
        <f t="shared" si="39"/>
        <v>0.9</v>
      </c>
      <c r="AB48" s="285"/>
      <c r="AC48" s="285"/>
    </row>
    <row r="49" spans="1:29" ht="12.75" hidden="1">
      <c r="A49" s="50">
        <f>A48+1</f>
        <v>9</v>
      </c>
      <c r="B49" s="198">
        <v>6</v>
      </c>
      <c r="C49" s="234" t="s">
        <v>219</v>
      </c>
      <c r="D49" s="246">
        <v>8</v>
      </c>
      <c r="E49" s="50">
        <f t="shared" si="40"/>
        <v>700</v>
      </c>
      <c r="F49" s="50">
        <f t="shared" si="41"/>
        <v>900</v>
      </c>
      <c r="G49" s="50">
        <f t="shared" si="42"/>
        <v>950</v>
      </c>
      <c r="H49" s="199">
        <v>4</v>
      </c>
      <c r="I49" s="197">
        <f t="shared" si="43"/>
        <v>1</v>
      </c>
      <c r="J49" s="50">
        <f t="shared" si="23"/>
        <v>1000</v>
      </c>
      <c r="K49" s="50">
        <f t="shared" si="24"/>
        <v>1100</v>
      </c>
      <c r="L49" s="50">
        <f t="shared" si="25"/>
        <v>2500</v>
      </c>
      <c r="M49" s="50">
        <f t="shared" si="26"/>
        <v>1000</v>
      </c>
      <c r="N49" s="50">
        <f t="shared" si="27"/>
        <v>900</v>
      </c>
      <c r="O49" s="50">
        <f t="shared" si="28"/>
        <v>0</v>
      </c>
      <c r="P49" s="50">
        <f t="shared" si="29"/>
        <v>100</v>
      </c>
      <c r="Q49" s="40">
        <f t="shared" si="30"/>
        <v>950</v>
      </c>
      <c r="R49" s="50">
        <f t="shared" si="31"/>
        <v>0</v>
      </c>
      <c r="S49" s="50">
        <f t="shared" si="32"/>
        <v>950</v>
      </c>
      <c r="T49" s="50">
        <f t="shared" si="33"/>
        <v>150</v>
      </c>
      <c r="U49" s="50">
        <f t="shared" si="34"/>
        <v>2500</v>
      </c>
      <c r="V49" s="50">
        <f t="shared" si="35"/>
        <v>0</v>
      </c>
      <c r="W49" s="50">
        <f t="shared" si="36"/>
        <v>2500</v>
      </c>
      <c r="X49" s="226"/>
      <c r="Y49" s="52">
        <f t="shared" si="37"/>
        <v>0.9</v>
      </c>
      <c r="Z49" s="52">
        <f t="shared" si="38"/>
        <v>0.8636363636363636</v>
      </c>
      <c r="AA49" s="52">
        <f t="shared" si="39"/>
        <v>0.9</v>
      </c>
      <c r="AB49" s="285">
        <v>1</v>
      </c>
      <c r="AC49" s="285"/>
    </row>
    <row r="50" spans="1:29" ht="12.75" hidden="1">
      <c r="A50" s="50">
        <f t="shared" si="44"/>
        <v>10</v>
      </c>
      <c r="B50" s="198">
        <v>9</v>
      </c>
      <c r="C50" s="234" t="s">
        <v>217</v>
      </c>
      <c r="D50" s="246"/>
      <c r="E50" s="50">
        <f t="shared" si="40"/>
        <v>800</v>
      </c>
      <c r="F50" s="50">
        <f t="shared" si="41"/>
        <v>450</v>
      </c>
      <c r="G50" s="50">
        <f t="shared" si="42"/>
        <v>450</v>
      </c>
      <c r="H50" s="199">
        <v>5</v>
      </c>
      <c r="I50" s="197">
        <f t="shared" si="43"/>
        <v>0.5</v>
      </c>
      <c r="J50" s="50">
        <f t="shared" si="23"/>
        <v>500</v>
      </c>
      <c r="K50" s="50">
        <f t="shared" si="24"/>
        <v>550</v>
      </c>
      <c r="L50" s="50">
        <f t="shared" si="25"/>
        <v>1250</v>
      </c>
      <c r="M50" s="50">
        <f>J50</f>
        <v>500</v>
      </c>
      <c r="N50" s="50">
        <f>MIN(M50,F50)</f>
        <v>450</v>
      </c>
      <c r="O50" s="50">
        <f>MAX(F50-M50,0)</f>
        <v>0</v>
      </c>
      <c r="P50" s="50">
        <f>MAX(M50-F50,0)</f>
        <v>50</v>
      </c>
      <c r="Q50" s="40">
        <f>MIN(K50,G50)</f>
        <v>450</v>
      </c>
      <c r="R50" s="50">
        <f>MAX(G50-Q50,0)</f>
        <v>0</v>
      </c>
      <c r="S50" s="50">
        <f>Q50+R50</f>
        <v>450</v>
      </c>
      <c r="T50" s="50">
        <f>MAX(K50-Q50,0)</f>
        <v>100</v>
      </c>
      <c r="U50" s="50">
        <f>L50</f>
        <v>1250</v>
      </c>
      <c r="V50" s="50">
        <f t="shared" si="35"/>
        <v>0</v>
      </c>
      <c r="W50" s="50">
        <f>U50+V50</f>
        <v>1250</v>
      </c>
      <c r="X50" s="226"/>
      <c r="Y50" s="52">
        <f t="shared" si="37"/>
        <v>0.5</v>
      </c>
      <c r="Z50" s="52">
        <f t="shared" si="38"/>
        <v>0.5</v>
      </c>
      <c r="AA50" s="52">
        <f t="shared" si="39"/>
        <v>0.5</v>
      </c>
      <c r="AB50" s="285"/>
      <c r="AC50" s="285">
        <v>0.5</v>
      </c>
    </row>
    <row r="51" spans="1:29" ht="12.75" hidden="1">
      <c r="A51" s="50">
        <f t="shared" si="44"/>
        <v>11</v>
      </c>
      <c r="B51" s="198">
        <v>9</v>
      </c>
      <c r="C51" s="234" t="s">
        <v>218</v>
      </c>
      <c r="D51" s="246"/>
      <c r="E51" s="50">
        <f t="shared" si="40"/>
        <v>800</v>
      </c>
      <c r="F51" s="50">
        <f t="shared" si="41"/>
        <v>450</v>
      </c>
      <c r="G51" s="50">
        <f t="shared" si="42"/>
        <v>450</v>
      </c>
      <c r="H51" s="199">
        <v>2</v>
      </c>
      <c r="I51" s="197">
        <f t="shared" si="43"/>
        <v>0.39893617021276595</v>
      </c>
      <c r="J51" s="50">
        <f t="shared" si="23"/>
        <v>398.93617021276594</v>
      </c>
      <c r="K51" s="50">
        <f t="shared" si="24"/>
        <v>438.82978723404256</v>
      </c>
      <c r="L51" s="50">
        <f t="shared" si="25"/>
        <v>997.3404255319149</v>
      </c>
      <c r="M51" s="50">
        <f>J51</f>
        <v>398.93617021276594</v>
      </c>
      <c r="N51" s="50">
        <f>MIN(M51,F51)</f>
        <v>398.93617021276594</v>
      </c>
      <c r="O51" s="50">
        <f>MAX(F51-M51,0)</f>
        <v>51.063829787234056</v>
      </c>
      <c r="P51" s="50">
        <f>MAX(M51-F51,0)</f>
        <v>0</v>
      </c>
      <c r="Q51" s="40">
        <f>MIN(K51,G51)</f>
        <v>438.82978723404256</v>
      </c>
      <c r="R51" s="50">
        <f>MAX(G51-Q51,0)</f>
        <v>11.170212765957444</v>
      </c>
      <c r="S51" s="50">
        <f>Q51+R51</f>
        <v>450</v>
      </c>
      <c r="T51" s="50">
        <f>MAX(K51-Q51,0)</f>
        <v>0</v>
      </c>
      <c r="U51" s="50">
        <f>L51</f>
        <v>997.3404255319149</v>
      </c>
      <c r="V51" s="50">
        <f t="shared" si="35"/>
        <v>12.693423597678914</v>
      </c>
      <c r="W51" s="50">
        <f>U51+V51</f>
        <v>1010.0338491295938</v>
      </c>
      <c r="X51" s="226"/>
      <c r="Y51" s="52">
        <f t="shared" si="37"/>
        <v>0.5</v>
      </c>
      <c r="Z51" s="286">
        <f>450/1128</f>
        <v>0.39893617021276595</v>
      </c>
      <c r="AA51" s="52">
        <f t="shared" si="39"/>
        <v>0.5</v>
      </c>
      <c r="AB51" s="285"/>
      <c r="AC51" s="285"/>
    </row>
    <row r="52" spans="1:29" ht="12.75" hidden="1">
      <c r="A52" s="50">
        <f t="shared" si="44"/>
        <v>12</v>
      </c>
      <c r="B52" s="198">
        <v>9</v>
      </c>
      <c r="C52" s="234" t="s">
        <v>219</v>
      </c>
      <c r="D52" s="246"/>
      <c r="E52" s="50">
        <f t="shared" si="40"/>
        <v>800</v>
      </c>
      <c r="F52" s="50">
        <f t="shared" si="41"/>
        <v>450</v>
      </c>
      <c r="G52" s="50">
        <f t="shared" si="42"/>
        <v>450</v>
      </c>
      <c r="H52" s="199">
        <v>1</v>
      </c>
      <c r="I52" s="197">
        <f t="shared" si="43"/>
        <v>0.45</v>
      </c>
      <c r="J52" s="50">
        <f t="shared" si="23"/>
        <v>450</v>
      </c>
      <c r="K52" s="50">
        <f t="shared" si="24"/>
        <v>495</v>
      </c>
      <c r="L52" s="50">
        <f t="shared" si="25"/>
        <v>1125</v>
      </c>
      <c r="M52" s="50">
        <f>J52</f>
        <v>450</v>
      </c>
      <c r="N52" s="50">
        <f>MIN(M52,F52)</f>
        <v>450</v>
      </c>
      <c r="O52" s="50">
        <f>MAX(F52-M52,0)</f>
        <v>0</v>
      </c>
      <c r="P52" s="50">
        <f>MAX(M52-F52,0)</f>
        <v>0</v>
      </c>
      <c r="Q52" s="40">
        <f>MIN(K52,G52)</f>
        <v>450</v>
      </c>
      <c r="R52" s="50">
        <f>MAX(G52-Q52,0)</f>
        <v>0</v>
      </c>
      <c r="S52" s="50">
        <f>Q52+R52</f>
        <v>450</v>
      </c>
      <c r="T52" s="50">
        <f>MAX(K52-Q52,0)</f>
        <v>45</v>
      </c>
      <c r="U52" s="50">
        <f>L52</f>
        <v>1125</v>
      </c>
      <c r="V52" s="50">
        <f t="shared" si="35"/>
        <v>0</v>
      </c>
      <c r="W52" s="50">
        <f>U52+V52</f>
        <v>1125</v>
      </c>
      <c r="X52" s="226"/>
      <c r="Y52" s="286">
        <v>0.45</v>
      </c>
      <c r="Z52" s="52">
        <f t="shared" si="38"/>
        <v>0.5</v>
      </c>
      <c r="AA52" s="52">
        <f t="shared" si="39"/>
        <v>0.5</v>
      </c>
      <c r="AB52" s="285"/>
      <c r="AC52" s="285"/>
    </row>
    <row r="53" spans="1:29" ht="12.75" hidden="1">
      <c r="A53" s="50">
        <f t="shared" si="44"/>
        <v>13</v>
      </c>
      <c r="B53" s="198">
        <v>10</v>
      </c>
      <c r="C53" s="234" t="s">
        <v>217</v>
      </c>
      <c r="D53" s="246"/>
      <c r="E53" s="50">
        <f t="shared" si="40"/>
        <v>800</v>
      </c>
      <c r="F53" s="50">
        <f t="shared" si="41"/>
        <v>400</v>
      </c>
      <c r="G53" s="50">
        <f t="shared" si="42"/>
        <v>500</v>
      </c>
      <c r="H53" s="199">
        <v>5</v>
      </c>
      <c r="I53" s="197">
        <f t="shared" si="43"/>
        <v>0.5</v>
      </c>
      <c r="J53" s="50">
        <f t="shared" si="23"/>
        <v>500</v>
      </c>
      <c r="K53" s="50">
        <f t="shared" si="24"/>
        <v>550</v>
      </c>
      <c r="L53" s="50">
        <f t="shared" si="25"/>
        <v>1250</v>
      </c>
      <c r="M53" s="50">
        <f t="shared" si="26"/>
        <v>500</v>
      </c>
      <c r="N53" s="50">
        <f t="shared" si="27"/>
        <v>400</v>
      </c>
      <c r="O53" s="50">
        <f t="shared" si="28"/>
        <v>0</v>
      </c>
      <c r="P53" s="50">
        <f t="shared" si="29"/>
        <v>100</v>
      </c>
      <c r="Q53" s="40">
        <f t="shared" si="30"/>
        <v>500</v>
      </c>
      <c r="R53" s="50">
        <f t="shared" si="31"/>
        <v>0</v>
      </c>
      <c r="S53" s="50">
        <f t="shared" si="32"/>
        <v>500</v>
      </c>
      <c r="T53" s="50">
        <f t="shared" si="33"/>
        <v>50</v>
      </c>
      <c r="U53" s="50">
        <f t="shared" si="34"/>
        <v>1250</v>
      </c>
      <c r="V53" s="50">
        <f t="shared" si="35"/>
        <v>0</v>
      </c>
      <c r="W53" s="50">
        <f t="shared" si="36"/>
        <v>1250</v>
      </c>
      <c r="X53" s="226"/>
      <c r="Y53" s="52">
        <f t="shared" si="37"/>
        <v>0.5</v>
      </c>
      <c r="Z53" s="52">
        <f t="shared" si="38"/>
        <v>0.5</v>
      </c>
      <c r="AA53" s="52">
        <f t="shared" si="39"/>
        <v>0.5</v>
      </c>
      <c r="AB53" s="285"/>
      <c r="AC53" s="285">
        <v>0.5</v>
      </c>
    </row>
    <row r="54" spans="1:29" ht="12.75" hidden="1">
      <c r="A54" s="50">
        <f t="shared" si="44"/>
        <v>14</v>
      </c>
      <c r="B54" s="198">
        <v>10</v>
      </c>
      <c r="C54" s="234" t="s">
        <v>218</v>
      </c>
      <c r="D54" s="246"/>
      <c r="E54" s="50">
        <f t="shared" si="40"/>
        <v>800</v>
      </c>
      <c r="F54" s="50">
        <f t="shared" si="41"/>
        <v>400</v>
      </c>
      <c r="G54" s="50">
        <f t="shared" si="42"/>
        <v>500</v>
      </c>
      <c r="H54" s="199">
        <v>1</v>
      </c>
      <c r="I54" s="197">
        <f t="shared" si="43"/>
        <v>0.4</v>
      </c>
      <c r="J54" s="50">
        <f t="shared" si="23"/>
        <v>400</v>
      </c>
      <c r="K54" s="50">
        <f t="shared" si="24"/>
        <v>440</v>
      </c>
      <c r="L54" s="50">
        <f t="shared" si="25"/>
        <v>1000</v>
      </c>
      <c r="M54" s="50">
        <f t="shared" si="26"/>
        <v>400</v>
      </c>
      <c r="N54" s="50">
        <f t="shared" si="27"/>
        <v>400</v>
      </c>
      <c r="O54" s="50">
        <f t="shared" si="28"/>
        <v>0</v>
      </c>
      <c r="P54" s="50">
        <f t="shared" si="29"/>
        <v>0</v>
      </c>
      <c r="Q54" s="40">
        <f t="shared" si="30"/>
        <v>440</v>
      </c>
      <c r="R54" s="50">
        <f t="shared" si="31"/>
        <v>60</v>
      </c>
      <c r="S54" s="50">
        <f t="shared" si="32"/>
        <v>500</v>
      </c>
      <c r="T54" s="50">
        <f t="shared" si="33"/>
        <v>0</v>
      </c>
      <c r="U54" s="50">
        <f t="shared" si="34"/>
        <v>1000</v>
      </c>
      <c r="V54" s="50">
        <f t="shared" si="35"/>
        <v>68.18181818181819</v>
      </c>
      <c r="W54" s="50">
        <f t="shared" si="36"/>
        <v>1068.1818181818182</v>
      </c>
      <c r="X54" s="226"/>
      <c r="Y54" s="286">
        <v>0.4</v>
      </c>
      <c r="Z54" s="52">
        <f t="shared" si="38"/>
        <v>0.5</v>
      </c>
      <c r="AA54" s="52">
        <f t="shared" si="39"/>
        <v>0.5</v>
      </c>
      <c r="AB54" s="285"/>
      <c r="AC54" s="285"/>
    </row>
    <row r="55" spans="1:29" ht="12.75" hidden="1">
      <c r="A55" s="50">
        <f t="shared" si="44"/>
        <v>15</v>
      </c>
      <c r="B55" s="198">
        <v>10</v>
      </c>
      <c r="C55" s="234" t="s">
        <v>219</v>
      </c>
      <c r="D55" s="246"/>
      <c r="E55" s="50">
        <f t="shared" si="40"/>
        <v>800</v>
      </c>
      <c r="F55" s="50">
        <f t="shared" si="41"/>
        <v>400</v>
      </c>
      <c r="G55" s="50">
        <f t="shared" si="42"/>
        <v>500</v>
      </c>
      <c r="H55" s="199">
        <v>2</v>
      </c>
      <c r="I55" s="197">
        <f t="shared" si="43"/>
        <v>0.4432624113475177</v>
      </c>
      <c r="J55" s="50">
        <f t="shared" si="23"/>
        <v>443.2624113475177</v>
      </c>
      <c r="K55" s="50">
        <f t="shared" si="24"/>
        <v>487.5886524822695</v>
      </c>
      <c r="L55" s="50">
        <f t="shared" si="25"/>
        <v>1108.1560283687943</v>
      </c>
      <c r="M55" s="50">
        <f t="shared" si="26"/>
        <v>443.2624113475177</v>
      </c>
      <c r="N55" s="50">
        <f t="shared" si="27"/>
        <v>400</v>
      </c>
      <c r="O55" s="50">
        <f t="shared" si="28"/>
        <v>0</v>
      </c>
      <c r="P55" s="50">
        <f t="shared" si="29"/>
        <v>43.262411347517684</v>
      </c>
      <c r="Q55" s="40">
        <f t="shared" si="30"/>
        <v>487.5886524822695</v>
      </c>
      <c r="R55" s="50">
        <f t="shared" si="31"/>
        <v>12.411347517730519</v>
      </c>
      <c r="S55" s="50">
        <f t="shared" si="32"/>
        <v>500</v>
      </c>
      <c r="T55" s="50">
        <f t="shared" si="33"/>
        <v>0</v>
      </c>
      <c r="U55" s="50">
        <f t="shared" si="34"/>
        <v>1108.1560283687943</v>
      </c>
      <c r="V55" s="50">
        <f t="shared" si="35"/>
        <v>14.103803997421045</v>
      </c>
      <c r="W55" s="50">
        <f t="shared" si="36"/>
        <v>1122.2598323662153</v>
      </c>
      <c r="X55" s="226"/>
      <c r="Y55" s="52">
        <f t="shared" si="37"/>
        <v>0.5</v>
      </c>
      <c r="Z55" s="286">
        <f>500/1128</f>
        <v>0.4432624113475177</v>
      </c>
      <c r="AA55" s="52">
        <f t="shared" si="39"/>
        <v>0.5</v>
      </c>
      <c r="AB55" s="285"/>
      <c r="AC55" s="285"/>
    </row>
    <row r="56" spans="1:29" ht="12.75" hidden="1">
      <c r="A56" s="50">
        <f t="shared" si="44"/>
        <v>16</v>
      </c>
      <c r="B56" s="198"/>
      <c r="C56" s="234"/>
      <c r="D56" s="246"/>
      <c r="E56" s="50">
        <f t="shared" si="40"/>
        <v>0</v>
      </c>
      <c r="F56" s="50">
        <f t="shared" si="41"/>
        <v>0</v>
      </c>
      <c r="G56" s="50">
        <f t="shared" si="42"/>
        <v>0</v>
      </c>
      <c r="H56" s="199">
        <v>1</v>
      </c>
      <c r="I56" s="197">
        <f t="shared" si="43"/>
        <v>0.5</v>
      </c>
      <c r="J56" s="50">
        <f t="shared" si="23"/>
        <v>500</v>
      </c>
      <c r="K56" s="50">
        <f t="shared" si="24"/>
        <v>550</v>
      </c>
      <c r="L56" s="50">
        <f t="shared" si="25"/>
        <v>1250</v>
      </c>
      <c r="M56" s="50">
        <f t="shared" si="26"/>
        <v>500</v>
      </c>
      <c r="N56" s="50">
        <f t="shared" si="27"/>
        <v>0</v>
      </c>
      <c r="O56" s="50">
        <f t="shared" si="28"/>
        <v>0</v>
      </c>
      <c r="P56" s="50">
        <f t="shared" si="29"/>
        <v>500</v>
      </c>
      <c r="Q56" s="40">
        <f t="shared" si="30"/>
        <v>0</v>
      </c>
      <c r="R56" s="50">
        <f t="shared" si="31"/>
        <v>0</v>
      </c>
      <c r="S56" s="50">
        <f t="shared" si="32"/>
        <v>0</v>
      </c>
      <c r="T56" s="50">
        <f t="shared" si="33"/>
        <v>550</v>
      </c>
      <c r="U56" s="50">
        <f t="shared" si="34"/>
        <v>1250</v>
      </c>
      <c r="V56" s="50">
        <f t="shared" si="35"/>
        <v>0</v>
      </c>
      <c r="W56" s="50">
        <f t="shared" si="36"/>
        <v>1250</v>
      </c>
      <c r="X56" s="226"/>
      <c r="Y56" s="52">
        <f t="shared" si="37"/>
        <v>0.5</v>
      </c>
      <c r="Z56" s="52">
        <f t="shared" si="38"/>
        <v>0.5</v>
      </c>
      <c r="AA56" s="52">
        <f t="shared" si="39"/>
        <v>0.5</v>
      </c>
      <c r="AB56" s="285"/>
      <c r="AC56" s="285"/>
    </row>
    <row r="57" spans="1:29" ht="12.75" hidden="1">
      <c r="A57" s="50">
        <f t="shared" si="44"/>
        <v>17</v>
      </c>
      <c r="B57" s="198"/>
      <c r="C57" s="234"/>
      <c r="D57" s="246"/>
      <c r="E57" s="50">
        <f t="shared" si="40"/>
        <v>0</v>
      </c>
      <c r="F57" s="50">
        <f t="shared" si="41"/>
        <v>0</v>
      </c>
      <c r="G57" s="50">
        <f t="shared" si="42"/>
        <v>0</v>
      </c>
      <c r="H57" s="199">
        <v>1</v>
      </c>
      <c r="I57" s="197">
        <f t="shared" si="43"/>
        <v>0.5</v>
      </c>
      <c r="J57" s="50">
        <f t="shared" si="23"/>
        <v>500</v>
      </c>
      <c r="K57" s="50">
        <f t="shared" si="24"/>
        <v>550</v>
      </c>
      <c r="L57" s="50">
        <f t="shared" si="25"/>
        <v>1250</v>
      </c>
      <c r="M57" s="50">
        <f t="shared" si="26"/>
        <v>500</v>
      </c>
      <c r="N57" s="50">
        <f t="shared" si="27"/>
        <v>0</v>
      </c>
      <c r="O57" s="50">
        <f t="shared" si="28"/>
        <v>0</v>
      </c>
      <c r="P57" s="50">
        <f t="shared" si="29"/>
        <v>500</v>
      </c>
      <c r="Q57" s="40">
        <f t="shared" si="30"/>
        <v>0</v>
      </c>
      <c r="R57" s="50">
        <f t="shared" si="31"/>
        <v>0</v>
      </c>
      <c r="S57" s="50">
        <f t="shared" si="32"/>
        <v>0</v>
      </c>
      <c r="T57" s="50">
        <f t="shared" si="33"/>
        <v>550</v>
      </c>
      <c r="U57" s="50">
        <f t="shared" si="34"/>
        <v>1250</v>
      </c>
      <c r="V57" s="50">
        <f t="shared" si="35"/>
        <v>0</v>
      </c>
      <c r="W57" s="50">
        <f t="shared" si="36"/>
        <v>1250</v>
      </c>
      <c r="X57" s="226"/>
      <c r="Y57" s="52">
        <f t="shared" si="37"/>
        <v>0.5</v>
      </c>
      <c r="Z57" s="52">
        <f t="shared" si="38"/>
        <v>0.5</v>
      </c>
      <c r="AA57" s="52">
        <f t="shared" si="39"/>
        <v>0.5</v>
      </c>
      <c r="AB57" s="285"/>
      <c r="AC57" s="285"/>
    </row>
    <row r="58" spans="1:29" ht="12.75" hidden="1">
      <c r="A58" s="50">
        <f t="shared" si="44"/>
        <v>18</v>
      </c>
      <c r="B58" s="198"/>
      <c r="C58" s="234"/>
      <c r="D58" s="246"/>
      <c r="E58" s="50">
        <f t="shared" si="40"/>
        <v>0</v>
      </c>
      <c r="F58" s="50">
        <f t="shared" si="41"/>
        <v>0</v>
      </c>
      <c r="G58" s="50">
        <f t="shared" si="42"/>
        <v>0</v>
      </c>
      <c r="H58" s="199">
        <v>1</v>
      </c>
      <c r="I58" s="197">
        <f t="shared" si="43"/>
        <v>0.5</v>
      </c>
      <c r="J58" s="50">
        <f t="shared" si="23"/>
        <v>500</v>
      </c>
      <c r="K58" s="50">
        <f t="shared" si="24"/>
        <v>550</v>
      </c>
      <c r="L58" s="50">
        <f t="shared" si="25"/>
        <v>1250</v>
      </c>
      <c r="M58" s="50">
        <f t="shared" si="26"/>
        <v>500</v>
      </c>
      <c r="N58" s="50">
        <f t="shared" si="27"/>
        <v>0</v>
      </c>
      <c r="O58" s="50">
        <f t="shared" si="28"/>
        <v>0</v>
      </c>
      <c r="P58" s="50">
        <f t="shared" si="29"/>
        <v>500</v>
      </c>
      <c r="Q58" s="40">
        <f t="shared" si="30"/>
        <v>0</v>
      </c>
      <c r="R58" s="50">
        <f t="shared" si="31"/>
        <v>0</v>
      </c>
      <c r="S58" s="50">
        <f t="shared" si="32"/>
        <v>0</v>
      </c>
      <c r="T58" s="50">
        <f t="shared" si="33"/>
        <v>550</v>
      </c>
      <c r="U58" s="50">
        <f t="shared" si="34"/>
        <v>1250</v>
      </c>
      <c r="V58" s="50">
        <f t="shared" si="35"/>
        <v>0</v>
      </c>
      <c r="W58" s="50">
        <f t="shared" si="36"/>
        <v>1250</v>
      </c>
      <c r="X58" s="226"/>
      <c r="Y58" s="52">
        <f t="shared" si="37"/>
        <v>0.5</v>
      </c>
      <c r="Z58" s="52">
        <f t="shared" si="38"/>
        <v>0.5</v>
      </c>
      <c r="AA58" s="52">
        <f t="shared" si="39"/>
        <v>0.5</v>
      </c>
      <c r="AB58" s="285"/>
      <c r="AC58" s="285"/>
    </row>
    <row r="59" spans="1:29" ht="12.75" hidden="1">
      <c r="A59" s="50">
        <f t="shared" si="44"/>
        <v>19</v>
      </c>
      <c r="B59" s="198"/>
      <c r="C59" s="234"/>
      <c r="D59" s="246"/>
      <c r="E59" s="50">
        <f t="shared" si="40"/>
        <v>0</v>
      </c>
      <c r="F59" s="50">
        <f t="shared" si="41"/>
        <v>0</v>
      </c>
      <c r="G59" s="50">
        <f t="shared" si="42"/>
        <v>0</v>
      </c>
      <c r="H59" s="199">
        <v>1</v>
      </c>
      <c r="I59" s="197">
        <f t="shared" si="43"/>
        <v>0.5</v>
      </c>
      <c r="J59" s="50">
        <f t="shared" si="23"/>
        <v>500</v>
      </c>
      <c r="K59" s="50">
        <f t="shared" si="24"/>
        <v>550</v>
      </c>
      <c r="L59" s="50">
        <f t="shared" si="25"/>
        <v>1250</v>
      </c>
      <c r="M59" s="50">
        <f t="shared" si="26"/>
        <v>500</v>
      </c>
      <c r="N59" s="50">
        <f t="shared" si="27"/>
        <v>0</v>
      </c>
      <c r="O59" s="50">
        <f t="shared" si="28"/>
        <v>0</v>
      </c>
      <c r="P59" s="50">
        <f t="shared" si="29"/>
        <v>500</v>
      </c>
      <c r="Q59" s="40">
        <f t="shared" si="30"/>
        <v>0</v>
      </c>
      <c r="R59" s="50">
        <f t="shared" si="31"/>
        <v>0</v>
      </c>
      <c r="S59" s="50">
        <f t="shared" si="32"/>
        <v>0</v>
      </c>
      <c r="T59" s="50">
        <f t="shared" si="33"/>
        <v>550</v>
      </c>
      <c r="U59" s="50">
        <f t="shared" si="34"/>
        <v>1250</v>
      </c>
      <c r="V59" s="50">
        <f t="shared" si="35"/>
        <v>0</v>
      </c>
      <c r="W59" s="50">
        <f t="shared" si="36"/>
        <v>1250</v>
      </c>
      <c r="X59" s="226"/>
      <c r="Y59" s="52">
        <f t="shared" si="37"/>
        <v>0.5</v>
      </c>
      <c r="Z59" s="52">
        <f t="shared" si="38"/>
        <v>0.5</v>
      </c>
      <c r="AA59" s="52">
        <f t="shared" si="39"/>
        <v>0.5</v>
      </c>
      <c r="AB59" s="285"/>
      <c r="AC59" s="285"/>
    </row>
    <row r="60" spans="1:29" ht="12.75" hidden="1">
      <c r="A60" s="50">
        <f t="shared" si="44"/>
        <v>20</v>
      </c>
      <c r="B60" s="198"/>
      <c r="C60" s="234"/>
      <c r="D60" s="246"/>
      <c r="E60" s="50">
        <f t="shared" si="40"/>
        <v>0</v>
      </c>
      <c r="F60" s="50">
        <f t="shared" si="41"/>
        <v>0</v>
      </c>
      <c r="G60" s="50">
        <f t="shared" si="42"/>
        <v>0</v>
      </c>
      <c r="H60" s="199">
        <v>1</v>
      </c>
      <c r="I60" s="197">
        <f t="shared" si="43"/>
        <v>0.5</v>
      </c>
      <c r="J60" s="50">
        <f t="shared" si="23"/>
        <v>500</v>
      </c>
      <c r="K60" s="50">
        <f t="shared" si="24"/>
        <v>550</v>
      </c>
      <c r="L60" s="50">
        <f t="shared" si="25"/>
        <v>1250</v>
      </c>
      <c r="M60" s="50">
        <f t="shared" si="26"/>
        <v>500</v>
      </c>
      <c r="N60" s="50">
        <f t="shared" si="27"/>
        <v>0</v>
      </c>
      <c r="O60" s="50">
        <f t="shared" si="28"/>
        <v>0</v>
      </c>
      <c r="P60" s="50">
        <f t="shared" si="29"/>
        <v>500</v>
      </c>
      <c r="Q60" s="40">
        <f t="shared" si="30"/>
        <v>0</v>
      </c>
      <c r="R60" s="50">
        <f t="shared" si="31"/>
        <v>0</v>
      </c>
      <c r="S60" s="50">
        <f t="shared" si="32"/>
        <v>0</v>
      </c>
      <c r="T60" s="50">
        <f t="shared" si="33"/>
        <v>550</v>
      </c>
      <c r="U60" s="50">
        <f t="shared" si="34"/>
        <v>1250</v>
      </c>
      <c r="V60" s="50">
        <f t="shared" si="35"/>
        <v>0</v>
      </c>
      <c r="W60" s="50">
        <f t="shared" si="36"/>
        <v>1250</v>
      </c>
      <c r="X60" s="226"/>
      <c r="Y60" s="52">
        <f t="shared" si="37"/>
        <v>0.5</v>
      </c>
      <c r="Z60" s="52">
        <f t="shared" si="38"/>
        <v>0.5</v>
      </c>
      <c r="AA60" s="52">
        <f t="shared" si="39"/>
        <v>0.5</v>
      </c>
      <c r="AB60" s="285"/>
      <c r="AC60" s="285"/>
    </row>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sheetData>
  <mergeCells count="15">
    <mergeCell ref="Q6:S6"/>
    <mergeCell ref="Q7:S7"/>
    <mergeCell ref="H6:H8"/>
    <mergeCell ref="O7:P7"/>
    <mergeCell ref="O6:P6"/>
    <mergeCell ref="D6:D8"/>
    <mergeCell ref="B1:W1"/>
    <mergeCell ref="B2:W2"/>
    <mergeCell ref="B3:W3"/>
    <mergeCell ref="U6:W7"/>
    <mergeCell ref="F6:G6"/>
    <mergeCell ref="M6:N6"/>
    <mergeCell ref="M7:N7"/>
    <mergeCell ref="I6:L6"/>
    <mergeCell ref="J7:L7"/>
  </mergeCells>
  <printOptions horizontalCentered="1"/>
  <pageMargins left="0" right="0" top="0.7874015748031497" bottom="0.7874015748031497" header="0.5118110236220472" footer="0.5118110236220472"/>
  <pageSetup horizontalDpi="300" verticalDpi="300" orientation="landscape" paperSize="9" scale="95" r:id="rId1"/>
  <headerFooter alignWithMargins="0">
    <oddFooter>&amp;RCogenerazione - Pag. &amp;P</oddFooter>
  </headerFooter>
</worksheet>
</file>

<file path=xl/worksheets/sheet5.xml><?xml version="1.0" encoding="utf-8"?>
<worksheet xmlns="http://schemas.openxmlformats.org/spreadsheetml/2006/main" xmlns:r="http://schemas.openxmlformats.org/officeDocument/2006/relationships">
  <dimension ref="B1:Z24"/>
  <sheetViews>
    <sheetView showGridLines="0" zoomScale="85" zoomScaleNormal="85" workbookViewId="0" topLeftCell="A1">
      <selection activeCell="A1" sqref="A1"/>
    </sheetView>
  </sheetViews>
  <sheetFormatPr defaultColWidth="9.140625" defaultRowHeight="12.75"/>
  <cols>
    <col min="1" max="1" width="4.8515625" style="53" customWidth="1"/>
    <col min="2" max="2" width="7.57421875" style="53" customWidth="1"/>
    <col min="3" max="3" width="8.7109375" style="53" customWidth="1"/>
    <col min="4" max="5" width="8.57421875" style="53" customWidth="1"/>
    <col min="6" max="6" width="5.140625" style="53" hidden="1" customWidth="1"/>
    <col min="7" max="7" width="6.140625" style="53" hidden="1" customWidth="1"/>
    <col min="8" max="21" width="8.57421875" style="53" customWidth="1"/>
    <col min="22" max="16384" width="9.140625" style="53" customWidth="1"/>
  </cols>
  <sheetData>
    <row r="1" spans="3:21" s="37" customFormat="1" ht="12.75">
      <c r="C1" s="36" t="str">
        <f>Curdura!B1</f>
        <v>ANALISI ECONOMICA DI UN SISTEMA DI COGENERAZIONE</v>
      </c>
      <c r="D1" s="36"/>
      <c r="E1" s="36"/>
      <c r="F1" s="36"/>
      <c r="G1" s="36"/>
      <c r="H1" s="36"/>
      <c r="I1" s="36"/>
      <c r="J1" s="36"/>
      <c r="K1" s="36"/>
      <c r="L1" s="36"/>
      <c r="M1" s="36"/>
      <c r="N1" s="36"/>
      <c r="O1" s="36"/>
      <c r="P1" s="36"/>
      <c r="Q1" s="36"/>
      <c r="R1" s="36"/>
      <c r="S1" s="36"/>
      <c r="T1" s="36"/>
      <c r="U1" s="36"/>
    </row>
    <row r="2" spans="3:21" s="37" customFormat="1" ht="12.75">
      <c r="C2" s="36" t="str">
        <f>Pot!B2</f>
        <v>MODALITA' DI REGOLAZIONE: MASSIMA COPERTURA DEL FABBISOGNO</v>
      </c>
      <c r="D2" s="36"/>
      <c r="E2" s="36"/>
      <c r="F2" s="36"/>
      <c r="G2" s="36"/>
      <c r="H2" s="36"/>
      <c r="I2" s="36"/>
      <c r="J2" s="36"/>
      <c r="K2" s="36"/>
      <c r="L2" s="36"/>
      <c r="M2" s="36"/>
      <c r="N2" s="36"/>
      <c r="O2" s="36"/>
      <c r="P2" s="36"/>
      <c r="Q2" s="36"/>
      <c r="R2" s="36"/>
      <c r="S2" s="36"/>
      <c r="T2" s="36"/>
      <c r="U2" s="36"/>
    </row>
    <row r="3" spans="3:21" s="37" customFormat="1" ht="12.75">
      <c r="C3" s="36" t="s">
        <v>25</v>
      </c>
      <c r="D3" s="36"/>
      <c r="E3" s="36"/>
      <c r="F3" s="36"/>
      <c r="G3" s="36"/>
      <c r="H3" s="36"/>
      <c r="I3" s="36"/>
      <c r="J3" s="36"/>
      <c r="K3" s="36"/>
      <c r="L3" s="36"/>
      <c r="M3" s="36"/>
      <c r="N3" s="36"/>
      <c r="O3" s="36"/>
      <c r="P3" s="36"/>
      <c r="Q3" s="36"/>
      <c r="R3" s="36"/>
      <c r="S3" s="36"/>
      <c r="T3" s="36"/>
      <c r="U3" s="36"/>
    </row>
    <row r="4" s="37" customFormat="1" ht="11.25"/>
    <row r="5" spans="2:21" s="38" customFormat="1" ht="16.5" customHeight="1">
      <c r="B5" s="153" t="s">
        <v>154</v>
      </c>
      <c r="C5" s="120" t="s">
        <v>12</v>
      </c>
      <c r="D5" s="348" t="s">
        <v>39</v>
      </c>
      <c r="E5" s="349"/>
      <c r="F5" s="351" t="s">
        <v>186</v>
      </c>
      <c r="G5" s="348" t="s">
        <v>94</v>
      </c>
      <c r="H5" s="350"/>
      <c r="I5" s="350"/>
      <c r="J5" s="349"/>
      <c r="K5" s="330" t="s">
        <v>78</v>
      </c>
      <c r="L5" s="379"/>
      <c r="M5" s="377" t="s">
        <v>77</v>
      </c>
      <c r="N5" s="379"/>
      <c r="O5" s="377" t="s">
        <v>190</v>
      </c>
      <c r="P5" s="378"/>
      <c r="Q5" s="379"/>
      <c r="R5" s="121" t="s">
        <v>189</v>
      </c>
      <c r="S5" s="377" t="s">
        <v>180</v>
      </c>
      <c r="T5" s="378"/>
      <c r="U5" s="379"/>
    </row>
    <row r="6" spans="2:21" s="38" customFormat="1" ht="16.5" customHeight="1">
      <c r="B6" s="44" t="s">
        <v>155</v>
      </c>
      <c r="C6" s="48" t="s">
        <v>14</v>
      </c>
      <c r="D6" s="120" t="s">
        <v>26</v>
      </c>
      <c r="E6" s="120" t="s">
        <v>26</v>
      </c>
      <c r="F6" s="338"/>
      <c r="G6" s="201" t="s">
        <v>57</v>
      </c>
      <c r="H6" s="348" t="s">
        <v>189</v>
      </c>
      <c r="I6" s="350"/>
      <c r="J6" s="349"/>
      <c r="K6" s="380"/>
      <c r="L6" s="382"/>
      <c r="M6" s="380" t="s">
        <v>176</v>
      </c>
      <c r="N6" s="382"/>
      <c r="O6" s="380" t="s">
        <v>178</v>
      </c>
      <c r="P6" s="381"/>
      <c r="Q6" s="382"/>
      <c r="R6" s="44" t="s">
        <v>18</v>
      </c>
      <c r="S6" s="380"/>
      <c r="T6" s="381"/>
      <c r="U6" s="382"/>
    </row>
    <row r="7" spans="2:21" s="38" customFormat="1" ht="16.5" customHeight="1">
      <c r="B7" s="44"/>
      <c r="C7" s="48" t="s">
        <v>21</v>
      </c>
      <c r="D7" s="48" t="s">
        <v>15</v>
      </c>
      <c r="E7" s="48" t="s">
        <v>16</v>
      </c>
      <c r="F7" s="339"/>
      <c r="G7" s="202" t="s">
        <v>174</v>
      </c>
      <c r="H7" s="39" t="s">
        <v>15</v>
      </c>
      <c r="I7" s="39" t="s">
        <v>16</v>
      </c>
      <c r="J7" s="39" t="s">
        <v>175</v>
      </c>
      <c r="K7" s="153" t="s">
        <v>20</v>
      </c>
      <c r="L7" s="122" t="s">
        <v>71</v>
      </c>
      <c r="M7" s="153" t="s">
        <v>72</v>
      </c>
      <c r="N7" s="153" t="s">
        <v>73</v>
      </c>
      <c r="O7" s="45" t="s">
        <v>18</v>
      </c>
      <c r="P7" s="48" t="s">
        <v>19</v>
      </c>
      <c r="Q7" s="44" t="s">
        <v>20</v>
      </c>
      <c r="R7" s="39" t="s">
        <v>179</v>
      </c>
      <c r="S7" s="39" t="s">
        <v>18</v>
      </c>
      <c r="T7" s="39" t="s">
        <v>19</v>
      </c>
      <c r="U7" s="39" t="s">
        <v>20</v>
      </c>
    </row>
    <row r="8" spans="2:21" s="38" customFormat="1" ht="16.5" customHeight="1" hidden="1">
      <c r="B8" s="172"/>
      <c r="C8" s="173"/>
      <c r="D8" s="173"/>
      <c r="E8" s="173"/>
      <c r="F8" s="173"/>
      <c r="G8" s="173"/>
      <c r="H8" s="173"/>
      <c r="I8" s="173"/>
      <c r="J8" s="173"/>
      <c r="K8" s="172"/>
      <c r="L8" s="174"/>
      <c r="M8" s="172"/>
      <c r="N8" s="172"/>
      <c r="O8" s="175"/>
      <c r="P8" s="173"/>
      <c r="Q8" s="172"/>
      <c r="R8" s="175"/>
      <c r="S8" s="175"/>
      <c r="T8" s="173"/>
      <c r="U8" s="172"/>
    </row>
    <row r="9" spans="2:21" s="51" customFormat="1" ht="16.5" customHeight="1">
      <c r="B9" s="50">
        <f>Pot!B11</f>
        <v>1</v>
      </c>
      <c r="C9" s="50">
        <f>Curdura!B5</f>
        <v>300</v>
      </c>
      <c r="D9" s="50">
        <f>Pot!F11*$C9/1000</f>
        <v>420</v>
      </c>
      <c r="E9" s="50">
        <f>Pot!G11*$C9/1000</f>
        <v>510</v>
      </c>
      <c r="F9" s="195"/>
      <c r="G9" s="195"/>
      <c r="H9" s="50">
        <f>Pot!J11*$C9/1000</f>
        <v>300</v>
      </c>
      <c r="I9" s="50">
        <f>Pot!K11*$C9/1000</f>
        <v>330</v>
      </c>
      <c r="J9" s="50">
        <f>Pot!L11*$C9/1000</f>
        <v>750</v>
      </c>
      <c r="K9" s="50">
        <f>Pot!M11*$C9/1000</f>
        <v>300</v>
      </c>
      <c r="L9" s="50">
        <f>Pot!N11*$C9/1000</f>
        <v>300</v>
      </c>
      <c r="M9" s="50">
        <f>Pot!O11*$C9/1000</f>
        <v>120</v>
      </c>
      <c r="N9" s="50">
        <f>Pot!P11*$C9/1000</f>
        <v>0</v>
      </c>
      <c r="O9" s="50">
        <f>Pot!Q11*$C9/1000</f>
        <v>330</v>
      </c>
      <c r="P9" s="50">
        <f>Pot!R11*$C9/1000</f>
        <v>180</v>
      </c>
      <c r="Q9" s="50">
        <f>Pot!S11*$C9/1000</f>
        <v>510</v>
      </c>
      <c r="R9" s="50">
        <f>Pot!T11*$C9/1000</f>
        <v>0</v>
      </c>
      <c r="S9" s="50">
        <f>Pot!U11*$C9/1000</f>
        <v>750</v>
      </c>
      <c r="T9" s="50">
        <f>Pot!V11*$C9/1000</f>
        <v>204.54545454545456</v>
      </c>
      <c r="U9" s="50">
        <f>Pot!W11*$C9/1000</f>
        <v>954.5454545454546</v>
      </c>
    </row>
    <row r="10" spans="2:21" s="51" customFormat="1" ht="16.5" customHeight="1">
      <c r="B10" s="50">
        <f>Pot!B12</f>
        <v>2</v>
      </c>
      <c r="C10" s="50">
        <f>Curdura!B6</f>
        <v>300</v>
      </c>
      <c r="D10" s="50">
        <f>Pot!F12*$C10/1000</f>
        <v>360</v>
      </c>
      <c r="E10" s="50">
        <f>Pot!G12*$C10/1000</f>
        <v>360</v>
      </c>
      <c r="F10" s="195"/>
      <c r="G10" s="195"/>
      <c r="H10" s="50">
        <f>Pot!J12*$C10/1000</f>
        <v>300</v>
      </c>
      <c r="I10" s="50">
        <f>Pot!K12*$C10/1000</f>
        <v>330</v>
      </c>
      <c r="J10" s="50">
        <f>Pot!L12*$C10/1000</f>
        <v>750</v>
      </c>
      <c r="K10" s="50">
        <f>Pot!M12*$C10/1000</f>
        <v>300</v>
      </c>
      <c r="L10" s="50">
        <f>Pot!N12*$C10/1000</f>
        <v>300</v>
      </c>
      <c r="M10" s="50">
        <f>Pot!O12*$C10/1000</f>
        <v>60</v>
      </c>
      <c r="N10" s="50">
        <f>Pot!P12*$C10/1000</f>
        <v>0</v>
      </c>
      <c r="O10" s="50">
        <f>Pot!Q12*$C10/1000</f>
        <v>330</v>
      </c>
      <c r="P10" s="50">
        <f>Pot!R12*$C10/1000</f>
        <v>30</v>
      </c>
      <c r="Q10" s="50">
        <f>Pot!S12*$C10/1000</f>
        <v>360</v>
      </c>
      <c r="R10" s="50">
        <f>Pot!T12*$C10/1000</f>
        <v>0</v>
      </c>
      <c r="S10" s="50">
        <f>Pot!U12*$C10/1000</f>
        <v>750</v>
      </c>
      <c r="T10" s="50">
        <f>Pot!V12*$C10/1000</f>
        <v>34.09090909090909</v>
      </c>
      <c r="U10" s="50">
        <f>Pot!W12*$C10/1000</f>
        <v>784.090909090909</v>
      </c>
    </row>
    <row r="11" spans="2:21" s="51" customFormat="1" ht="16.5" customHeight="1">
      <c r="B11" s="50">
        <f>Pot!B13</f>
        <v>3</v>
      </c>
      <c r="C11" s="50">
        <f>Curdura!B7</f>
        <v>400</v>
      </c>
      <c r="D11" s="50">
        <f>Pot!F13*$C11/1000</f>
        <v>440</v>
      </c>
      <c r="E11" s="50">
        <f>Pot!G13*$C11/1000</f>
        <v>420</v>
      </c>
      <c r="F11" s="195"/>
      <c r="G11" s="195"/>
      <c r="H11" s="50">
        <f>Pot!J13*$C11/1000</f>
        <v>400</v>
      </c>
      <c r="I11" s="50">
        <f>Pot!K13*$C11/1000</f>
        <v>440</v>
      </c>
      <c r="J11" s="50">
        <f>Pot!L13*$C11/1000</f>
        <v>1000</v>
      </c>
      <c r="K11" s="50">
        <f>Pot!M13*$C11/1000</f>
        <v>400</v>
      </c>
      <c r="L11" s="50">
        <f>Pot!N13*$C11/1000</f>
        <v>400</v>
      </c>
      <c r="M11" s="50">
        <f>Pot!O13*$C11/1000</f>
        <v>40</v>
      </c>
      <c r="N11" s="50">
        <f>Pot!P13*$C11/1000</f>
        <v>0</v>
      </c>
      <c r="O11" s="50">
        <f>Pot!Q13*$C11/1000</f>
        <v>420</v>
      </c>
      <c r="P11" s="50">
        <f>Pot!R13*$C11/1000</f>
        <v>0</v>
      </c>
      <c r="Q11" s="50">
        <f>Pot!S13*$C11/1000</f>
        <v>420</v>
      </c>
      <c r="R11" s="50">
        <f>Pot!T13*$C11/1000</f>
        <v>20</v>
      </c>
      <c r="S11" s="50">
        <f>Pot!U13*$C11/1000</f>
        <v>1000</v>
      </c>
      <c r="T11" s="50">
        <f>Pot!V13*$C11/1000</f>
        <v>0</v>
      </c>
      <c r="U11" s="50">
        <f>Pot!W13*$C11/1000</f>
        <v>1000</v>
      </c>
    </row>
    <row r="12" spans="2:21" s="51" customFormat="1" ht="16.5" customHeight="1">
      <c r="B12" s="50">
        <f>Pot!B14</f>
        <v>4</v>
      </c>
      <c r="C12" s="50">
        <f>Curdura!B8</f>
        <v>500</v>
      </c>
      <c r="D12" s="50">
        <f>Pot!F14*$C12/1000</f>
        <v>500</v>
      </c>
      <c r="E12" s="50">
        <f>Pot!G14*$C12/1000</f>
        <v>600</v>
      </c>
      <c r="F12" s="195"/>
      <c r="G12" s="195"/>
      <c r="H12" s="50">
        <f>Pot!J14*$C12/1000</f>
        <v>500</v>
      </c>
      <c r="I12" s="50">
        <f>Pot!K14*$C12/1000</f>
        <v>550</v>
      </c>
      <c r="J12" s="50">
        <f>Pot!L14*$C12/1000</f>
        <v>1250</v>
      </c>
      <c r="K12" s="50">
        <f>Pot!M14*$C12/1000</f>
        <v>500</v>
      </c>
      <c r="L12" s="50">
        <f>Pot!N14*$C12/1000</f>
        <v>500</v>
      </c>
      <c r="M12" s="50">
        <f>Pot!O14*$C12/1000</f>
        <v>0</v>
      </c>
      <c r="N12" s="50">
        <f>Pot!P14*$C12/1000</f>
        <v>0</v>
      </c>
      <c r="O12" s="50">
        <f>Pot!Q14*$C12/1000</f>
        <v>550</v>
      </c>
      <c r="P12" s="50">
        <f>Pot!R14*$C12/1000</f>
        <v>50</v>
      </c>
      <c r="Q12" s="50">
        <f>Pot!S14*$C12/1000</f>
        <v>600</v>
      </c>
      <c r="R12" s="50">
        <f>Pot!T14*$C12/1000</f>
        <v>0</v>
      </c>
      <c r="S12" s="50">
        <f>Pot!U14*$C12/1000</f>
        <v>1250</v>
      </c>
      <c r="T12" s="50">
        <f>Pot!V14*$C12/1000</f>
        <v>56.81818181818182</v>
      </c>
      <c r="U12" s="50">
        <f>Pot!W14*$C12/1000</f>
        <v>1306.8181818181818</v>
      </c>
    </row>
    <row r="13" spans="2:21" s="51" customFormat="1" ht="16.5" customHeight="1">
      <c r="B13" s="50">
        <f>Pot!B15</f>
        <v>5</v>
      </c>
      <c r="C13" s="50">
        <f>Curdura!B9</f>
        <v>600</v>
      </c>
      <c r="D13" s="50">
        <f>Pot!F15*$C13/1000</f>
        <v>558</v>
      </c>
      <c r="E13" s="50">
        <f>Pot!G15*$C13/1000</f>
        <v>636</v>
      </c>
      <c r="F13" s="195"/>
      <c r="G13" s="195"/>
      <c r="H13" s="50">
        <f>Pot!J15*$C13/1000</f>
        <v>578.1818181818181</v>
      </c>
      <c r="I13" s="50">
        <f>Pot!K15*$C13/1000</f>
        <v>636</v>
      </c>
      <c r="J13" s="50">
        <f>Pot!L15*$C13/1000</f>
        <v>1445.4545454545455</v>
      </c>
      <c r="K13" s="50">
        <f>Pot!M15*$C13/1000</f>
        <v>578.1818181818181</v>
      </c>
      <c r="L13" s="50">
        <f>Pot!N15*$C13/1000</f>
        <v>558</v>
      </c>
      <c r="M13" s="50">
        <f>Pot!O15*$C13/1000</f>
        <v>0</v>
      </c>
      <c r="N13" s="50">
        <f>Pot!P15*$C13/1000</f>
        <v>20.181818181818176</v>
      </c>
      <c r="O13" s="50">
        <f>Pot!Q15*$C13/1000</f>
        <v>636</v>
      </c>
      <c r="P13" s="50">
        <f>Pot!R15*$C13/1000</f>
        <v>0</v>
      </c>
      <c r="Q13" s="50">
        <f>Pot!S15*$C13/1000</f>
        <v>636</v>
      </c>
      <c r="R13" s="50">
        <f>Pot!T15*$C13/1000</f>
        <v>0</v>
      </c>
      <c r="S13" s="50">
        <f>Pot!U15*$C13/1000</f>
        <v>1445.4545454545455</v>
      </c>
      <c r="T13" s="50">
        <f>Pot!V15*$C13/1000</f>
        <v>0</v>
      </c>
      <c r="U13" s="50">
        <f>Pot!W15*$C13/1000</f>
        <v>1445.4545454545455</v>
      </c>
    </row>
    <row r="14" spans="2:21" s="51" customFormat="1" ht="16.5" customHeight="1">
      <c r="B14" s="50">
        <f>Pot!B16</f>
        <v>6</v>
      </c>
      <c r="C14" s="50">
        <f>Curdura!B10</f>
        <v>700</v>
      </c>
      <c r="D14" s="50">
        <f>Pot!F16*$C14/1000</f>
        <v>630</v>
      </c>
      <c r="E14" s="50">
        <f>Pot!G16*$C14/1000</f>
        <v>665</v>
      </c>
      <c r="F14" s="195"/>
      <c r="G14" s="195"/>
      <c r="H14" s="50">
        <f>Pot!J16*$C14/1000</f>
        <v>630</v>
      </c>
      <c r="I14" s="50">
        <f>Pot!K16*$C14/1000</f>
        <v>693</v>
      </c>
      <c r="J14" s="50">
        <f>Pot!L16*$C14/1000</f>
        <v>1575</v>
      </c>
      <c r="K14" s="50">
        <f>Pot!M16*$C14/1000</f>
        <v>630</v>
      </c>
      <c r="L14" s="50">
        <f>Pot!N16*$C14/1000</f>
        <v>630</v>
      </c>
      <c r="M14" s="50">
        <f>Pot!O16*$C14/1000</f>
        <v>0</v>
      </c>
      <c r="N14" s="50">
        <f>Pot!P16*$C14/1000</f>
        <v>0</v>
      </c>
      <c r="O14" s="50">
        <f>Pot!Q16*$C14/1000</f>
        <v>665</v>
      </c>
      <c r="P14" s="50">
        <f>Pot!R16*$C14/1000</f>
        <v>0</v>
      </c>
      <c r="Q14" s="50">
        <f>Pot!S16*$C14/1000</f>
        <v>665</v>
      </c>
      <c r="R14" s="50">
        <f>Pot!T16*$C14/1000</f>
        <v>28</v>
      </c>
      <c r="S14" s="50">
        <f>Pot!U16*$C14/1000</f>
        <v>1575</v>
      </c>
      <c r="T14" s="50">
        <f>Pot!V16*$C14/1000</f>
        <v>0</v>
      </c>
      <c r="U14" s="50">
        <f>Pot!W16*$C14/1000</f>
        <v>1575</v>
      </c>
    </row>
    <row r="15" spans="2:21" s="51" customFormat="1" ht="16.5" customHeight="1">
      <c r="B15" s="50">
        <f>Pot!B17</f>
        <v>7</v>
      </c>
      <c r="C15" s="50">
        <f>Curdura!B11</f>
        <v>800</v>
      </c>
      <c r="D15" s="50">
        <f>Pot!F17*$C15/1000</f>
        <v>640</v>
      </c>
      <c r="E15" s="50">
        <f>Pot!G17*$C15/1000</f>
        <v>800</v>
      </c>
      <c r="F15" s="195"/>
      <c r="G15" s="195"/>
      <c r="H15" s="50">
        <f>Pot!J17*$C15/1000</f>
        <v>727.2727272727271</v>
      </c>
      <c r="I15" s="50">
        <f>Pot!K17*$C15/1000</f>
        <v>800</v>
      </c>
      <c r="J15" s="50">
        <f>Pot!L17*$C15/1000</f>
        <v>1818.181818181818</v>
      </c>
      <c r="K15" s="50">
        <f>Pot!M17*$C15/1000</f>
        <v>727.2727272727271</v>
      </c>
      <c r="L15" s="50">
        <f>Pot!N17*$C15/1000</f>
        <v>640</v>
      </c>
      <c r="M15" s="50">
        <f>Pot!O17*$C15/1000</f>
        <v>0</v>
      </c>
      <c r="N15" s="50">
        <f>Pot!P17*$C15/1000</f>
        <v>87.27272727272721</v>
      </c>
      <c r="O15" s="50">
        <f>Pot!Q17*$C15/1000</f>
        <v>800</v>
      </c>
      <c r="P15" s="50">
        <f>Pot!R17*$C15/1000</f>
        <v>0</v>
      </c>
      <c r="Q15" s="50">
        <f>Pot!S17*$C15/1000</f>
        <v>800</v>
      </c>
      <c r="R15" s="50">
        <f>Pot!T17*$C15/1000</f>
        <v>0</v>
      </c>
      <c r="S15" s="50">
        <f>Pot!U17*$C15/1000</f>
        <v>1818.181818181818</v>
      </c>
      <c r="T15" s="50">
        <f>Pot!V17*$C15/1000</f>
        <v>0</v>
      </c>
      <c r="U15" s="50">
        <f>Pot!W17*$C15/1000</f>
        <v>1818.181818181818</v>
      </c>
    </row>
    <row r="16" spans="2:21" s="51" customFormat="1" ht="16.5" customHeight="1">
      <c r="B16" s="50">
        <f>Pot!B18</f>
        <v>8</v>
      </c>
      <c r="C16" s="50">
        <f>Curdura!B12</f>
        <v>1000</v>
      </c>
      <c r="D16" s="50">
        <f>Pot!F18*$C16/1000</f>
        <v>800</v>
      </c>
      <c r="E16" s="50">
        <f>Pot!G18*$C16/1000</f>
        <v>700</v>
      </c>
      <c r="F16" s="195"/>
      <c r="G16" s="195"/>
      <c r="H16" s="50">
        <f>Pot!J18*$C16/1000</f>
        <v>800</v>
      </c>
      <c r="I16" s="50">
        <f>Pot!K18*$C16/1000</f>
        <v>880</v>
      </c>
      <c r="J16" s="50">
        <f>Pot!L18*$C16/1000</f>
        <v>2000</v>
      </c>
      <c r="K16" s="50">
        <f>Pot!M18*$C16/1000</f>
        <v>800</v>
      </c>
      <c r="L16" s="50">
        <f>Pot!N18*$C16/1000</f>
        <v>800</v>
      </c>
      <c r="M16" s="50">
        <f>Pot!O18*$C16/1000</f>
        <v>0</v>
      </c>
      <c r="N16" s="50">
        <f>Pot!P18*$C16/1000</f>
        <v>0</v>
      </c>
      <c r="O16" s="50">
        <f>Pot!Q18*$C16/1000</f>
        <v>700</v>
      </c>
      <c r="P16" s="50">
        <f>Pot!R18*$C16/1000</f>
        <v>0</v>
      </c>
      <c r="Q16" s="50">
        <f>Pot!S18*$C16/1000</f>
        <v>700</v>
      </c>
      <c r="R16" s="50">
        <f>Pot!T18*$C16/1000</f>
        <v>180</v>
      </c>
      <c r="S16" s="50">
        <f>Pot!U18*$C16/1000</f>
        <v>2000</v>
      </c>
      <c r="T16" s="50">
        <f>Pot!V18*$C16/1000</f>
        <v>0</v>
      </c>
      <c r="U16" s="50">
        <f>Pot!W18*$C16/1000</f>
        <v>2000</v>
      </c>
    </row>
    <row r="17" spans="2:21" s="51" customFormat="1" ht="16.5" customHeight="1">
      <c r="B17" s="50">
        <f>Pot!B19</f>
        <v>9</v>
      </c>
      <c r="C17" s="50">
        <f>Curdura!B13</f>
        <v>800</v>
      </c>
      <c r="D17" s="50">
        <f>Pot!F19*$C17/1000</f>
        <v>360</v>
      </c>
      <c r="E17" s="50">
        <f>Pot!G19*$C17/1000</f>
        <v>360</v>
      </c>
      <c r="F17" s="195"/>
      <c r="G17" s="195"/>
      <c r="H17" s="50">
        <f>Pot!J19*$C17/1000</f>
        <v>400</v>
      </c>
      <c r="I17" s="50">
        <f>Pot!K19*$C17/1000</f>
        <v>440</v>
      </c>
      <c r="J17" s="50">
        <f>Pot!L19*$C17/1000</f>
        <v>1000</v>
      </c>
      <c r="K17" s="50">
        <f>Pot!M19*$C17/1000</f>
        <v>400</v>
      </c>
      <c r="L17" s="50">
        <f>Pot!N19*$C17/1000</f>
        <v>360</v>
      </c>
      <c r="M17" s="50">
        <f>Pot!O19*$C17/1000</f>
        <v>0</v>
      </c>
      <c r="N17" s="50">
        <f>Pot!P19*$C17/1000</f>
        <v>40</v>
      </c>
      <c r="O17" s="50">
        <f>Pot!Q19*$C17/1000</f>
        <v>360</v>
      </c>
      <c r="P17" s="50">
        <f>Pot!R19*$C17/1000</f>
        <v>0</v>
      </c>
      <c r="Q17" s="50">
        <f>Pot!S19*$C17/1000</f>
        <v>360</v>
      </c>
      <c r="R17" s="50">
        <f>Pot!T19*$C17/1000</f>
        <v>80</v>
      </c>
      <c r="S17" s="50">
        <f>Pot!U19*$C17/1000</f>
        <v>1000</v>
      </c>
      <c r="T17" s="50">
        <f>Pot!V19*$C17/1000</f>
        <v>0</v>
      </c>
      <c r="U17" s="50">
        <f>Pot!W19*$C17/1000</f>
        <v>1000</v>
      </c>
    </row>
    <row r="18" spans="2:21" s="51" customFormat="1" ht="16.5" customHeight="1">
      <c r="B18" s="50">
        <f>Pot!B20</f>
        <v>10</v>
      </c>
      <c r="C18" s="50">
        <f>Curdura!B14</f>
        <v>800</v>
      </c>
      <c r="D18" s="50">
        <f>Pot!F20*$C18/1000</f>
        <v>320</v>
      </c>
      <c r="E18" s="50">
        <f>Pot!G20*$C18/1000</f>
        <v>400</v>
      </c>
      <c r="F18" s="195"/>
      <c r="G18" s="195"/>
      <c r="H18" s="50">
        <f>Pot!J20*$C18/1000</f>
        <v>400</v>
      </c>
      <c r="I18" s="50">
        <f>Pot!K20*$C18/1000</f>
        <v>440</v>
      </c>
      <c r="J18" s="50">
        <f>Pot!L20*$C18/1000</f>
        <v>1000</v>
      </c>
      <c r="K18" s="50">
        <f>Pot!M20*$C18/1000</f>
        <v>400</v>
      </c>
      <c r="L18" s="50">
        <f>Pot!N20*$C18/1000</f>
        <v>320</v>
      </c>
      <c r="M18" s="50">
        <f>Pot!O20*$C18/1000</f>
        <v>0</v>
      </c>
      <c r="N18" s="50">
        <f>Pot!P20*$C18/1000</f>
        <v>80</v>
      </c>
      <c r="O18" s="50">
        <f>Pot!Q20*$C18/1000</f>
        <v>400</v>
      </c>
      <c r="P18" s="50">
        <f>Pot!R20*$C18/1000</f>
        <v>0</v>
      </c>
      <c r="Q18" s="50">
        <f>Pot!S20*$C18/1000</f>
        <v>400</v>
      </c>
      <c r="R18" s="50">
        <f>Pot!T20*$C18/1000</f>
        <v>40</v>
      </c>
      <c r="S18" s="50">
        <f>Pot!U20*$C18/1000</f>
        <v>1000</v>
      </c>
      <c r="T18" s="50">
        <f>Pot!V20*$C18/1000</f>
        <v>0</v>
      </c>
      <c r="U18" s="50">
        <f>Pot!W20*$C18/1000</f>
        <v>1000</v>
      </c>
    </row>
    <row r="19" spans="2:21" s="51" customFormat="1" ht="16.5" customHeight="1">
      <c r="B19" s="43" t="s">
        <v>92</v>
      </c>
      <c r="C19" s="43">
        <f aca="true" t="shared" si="0" ref="C19:U19">SUM(C9:C18)</f>
        <v>6200</v>
      </c>
      <c r="D19" s="43">
        <f t="shared" si="0"/>
        <v>5028</v>
      </c>
      <c r="E19" s="43">
        <f t="shared" si="0"/>
        <v>5451</v>
      </c>
      <c r="F19" s="200"/>
      <c r="G19" s="200"/>
      <c r="H19" s="43">
        <f>SUM(H9:H18)</f>
        <v>5035.454545454545</v>
      </c>
      <c r="I19" s="43">
        <f>SUM(I9:I18)</f>
        <v>5539</v>
      </c>
      <c r="J19" s="43">
        <f>SUM(J9:J18)</f>
        <v>12588.636363636364</v>
      </c>
      <c r="K19" s="43">
        <f t="shared" si="0"/>
        <v>5035.454545454545</v>
      </c>
      <c r="L19" s="43">
        <f t="shared" si="0"/>
        <v>4808</v>
      </c>
      <c r="M19" s="43">
        <f t="shared" si="0"/>
        <v>220</v>
      </c>
      <c r="N19" s="43">
        <f t="shared" si="0"/>
        <v>227.45454545454538</v>
      </c>
      <c r="O19" s="43">
        <f t="shared" si="0"/>
        <v>5191</v>
      </c>
      <c r="P19" s="43">
        <f t="shared" si="0"/>
        <v>260</v>
      </c>
      <c r="Q19" s="43">
        <f t="shared" si="0"/>
        <v>5451</v>
      </c>
      <c r="R19" s="43">
        <f t="shared" si="0"/>
        <v>348</v>
      </c>
      <c r="S19" s="43">
        <f t="shared" si="0"/>
        <v>12588.636363636364</v>
      </c>
      <c r="T19" s="43">
        <f t="shared" si="0"/>
        <v>295.4545454545455</v>
      </c>
      <c r="U19" s="43">
        <f t="shared" si="0"/>
        <v>12884.090909090908</v>
      </c>
    </row>
    <row r="20" spans="3:10" ht="10.5" customHeight="1">
      <c r="C20" s="56"/>
      <c r="D20" s="56"/>
      <c r="E20" s="56"/>
      <c r="F20" s="56"/>
      <c r="G20" s="56"/>
      <c r="H20" s="56"/>
      <c r="I20" s="56"/>
      <c r="J20" s="56"/>
    </row>
    <row r="21" spans="3:26" ht="16.5" customHeight="1">
      <c r="C21" s="57"/>
      <c r="E21" s="56"/>
      <c r="F21" s="56"/>
      <c r="G21" s="56"/>
      <c r="H21" s="56"/>
      <c r="I21" s="56"/>
      <c r="J21" s="56"/>
      <c r="O21" s="58"/>
      <c r="Q21" s="59"/>
      <c r="R21" s="59"/>
      <c r="T21" s="58"/>
      <c r="U21" s="60"/>
      <c r="Z21" s="25"/>
    </row>
    <row r="22" spans="9:26" ht="16.5" customHeight="1">
      <c r="I22" s="56"/>
      <c r="J22" s="56" t="s">
        <v>200</v>
      </c>
      <c r="K22" s="53">
        <f>K19</f>
        <v>5035.454545454545</v>
      </c>
      <c r="L22" s="58" t="s">
        <v>27</v>
      </c>
      <c r="M22" s="53">
        <f>O19</f>
        <v>5191</v>
      </c>
      <c r="N22" s="58" t="s">
        <v>49</v>
      </c>
      <c r="O22" s="53">
        <f>S19</f>
        <v>12588.636363636364</v>
      </c>
      <c r="P22" s="58" t="s">
        <v>28</v>
      </c>
      <c r="Q22" s="274">
        <f>(K22+M22)/S19</f>
        <v>0.8123560209424082</v>
      </c>
      <c r="R22" s="60"/>
      <c r="Z22" s="25"/>
    </row>
    <row r="23" ht="16.5" customHeight="1"/>
    <row r="24" spans="11:17" ht="16.5" customHeight="1">
      <c r="K24" s="273">
        <f>K22/$O22</f>
        <v>0.39999999999999997</v>
      </c>
      <c r="M24" s="273">
        <f>M22/$O22</f>
        <v>0.41235602094240836</v>
      </c>
      <c r="Q24" s="273"/>
    </row>
    <row r="25" ht="16.5" customHeight="1"/>
  </sheetData>
  <mergeCells count="10">
    <mergeCell ref="M6:N6"/>
    <mergeCell ref="O6:Q6"/>
    <mergeCell ref="S5:U6"/>
    <mergeCell ref="D5:E5"/>
    <mergeCell ref="K5:L6"/>
    <mergeCell ref="F5:F7"/>
    <mergeCell ref="G5:J5"/>
    <mergeCell ref="H6:J6"/>
    <mergeCell ref="M5:N5"/>
    <mergeCell ref="O5:Q5"/>
  </mergeCells>
  <printOptions horizontalCentered="1"/>
  <pageMargins left="0" right="0" top="0.7874015748031497" bottom="0.7874015748031497" header="0.5118110236220472" footer="0.5118110236220472"/>
  <pageSetup horizontalDpi="300" verticalDpi="300" orientation="landscape" paperSize="9" scale="95" r:id="rId1"/>
  <headerFooter alignWithMargins="0">
    <oddFooter>&amp;RCogenerazione - Pag. &amp;P</oddFooter>
  </headerFooter>
</worksheet>
</file>

<file path=xl/worksheets/sheet6.xml><?xml version="1.0" encoding="utf-8"?>
<worksheet xmlns="http://schemas.openxmlformats.org/spreadsheetml/2006/main" xmlns:r="http://schemas.openxmlformats.org/officeDocument/2006/relationships">
  <dimension ref="A1:BF40"/>
  <sheetViews>
    <sheetView showGridLines="0" zoomScale="75" zoomScaleNormal="75" workbookViewId="0" topLeftCell="A1">
      <selection activeCell="A5" sqref="A5:AU5"/>
    </sheetView>
  </sheetViews>
  <sheetFormatPr defaultColWidth="9.140625" defaultRowHeight="12.75"/>
  <cols>
    <col min="1" max="1" width="5.421875" style="127" customWidth="1"/>
    <col min="2" max="10" width="3.421875" style="127" customWidth="1"/>
    <col min="11" max="11" width="3.28125" style="127" customWidth="1"/>
    <col min="12" max="12" width="5.7109375" style="127" customWidth="1"/>
    <col min="13" max="47" width="3.421875" style="127" customWidth="1"/>
    <col min="48" max="49" width="7.57421875" style="127" customWidth="1"/>
    <col min="50" max="50" width="6.7109375" style="127" customWidth="1"/>
    <col min="51" max="16384" width="3.421875" style="127" customWidth="1"/>
  </cols>
  <sheetData>
    <row r="1" spans="1:49" ht="19.5" customHeight="1">
      <c r="A1" s="332" t="s">
        <v>220</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243">
        <v>1</v>
      </c>
      <c r="AW1" s="171" t="s">
        <v>187</v>
      </c>
    </row>
    <row r="2" spans="1:58" ht="19.5" customHeight="1">
      <c r="A2" s="332" t="str">
        <f>"CONDIZIONE DI FUNZIONAMENTO "&amp;AV2&amp;AW2&amp;IF(AX2&gt;0," (Lo stesso schema vale anche per la condizione "&amp;AX2&amp;")","")</f>
        <v>CONDIZIONE DI FUNZIONAMENTO 1 (Lo stesso schema vale anche per la condizione 2 e 4)</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244">
        <f>VLOOKUP($AV1,DbCasi,Pot!$B$39)</f>
        <v>1</v>
      </c>
      <c r="AW2" s="242">
        <f>IF(VLOOKUP($AV1,DbCasi,Pot!$C$39)&lt;&gt;0,VLOOKUP($AV1,DbCasi,Pot!$C$39),"")</f>
      </c>
      <c r="AX2" s="237" t="str">
        <f>VLOOKUP($AV1,DbCasi,Pot!$D$39)</f>
        <v>2 e 4</v>
      </c>
      <c r="AY2" s="238" t="s">
        <v>226</v>
      </c>
      <c r="AZ2" s="239"/>
      <c r="BA2" s="239"/>
      <c r="BB2" s="239"/>
      <c r="BC2" s="239"/>
      <c r="BD2" s="239"/>
      <c r="BE2" s="239"/>
      <c r="BF2" s="240"/>
    </row>
    <row r="3" spans="1:47" ht="19.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row>
    <row r="4" spans="1:51" ht="19.5" customHeight="1">
      <c r="A4" s="334" t="str">
        <f>"Regolazione : "&amp;AY4&amp;IF(AV4=4,"","  -  Carico del motore : "&amp;TEXT(AW4*100,"00,0")&amp;"%")</f>
        <v>Regolazione : Carico Elettrico Comanda  -  Carico del motore : 100,0%</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229">
        <f>VLOOKUP($AV1,DbCasi,Pot!$H$9+1)</f>
        <v>1</v>
      </c>
      <c r="AW4" s="230">
        <f>VLOOKUP($AV1,DbCasi,Pot!$I$9+1)</f>
        <v>1</v>
      </c>
      <c r="AY4" s="127" t="str">
        <f>CHOOSE(AV4,"Carico Elettrico Comanda","Carico Termico Comanda","","Motore a carico massimo","Motore a carico minimo")</f>
        <v>Carico Elettrico Comanda</v>
      </c>
    </row>
    <row r="5" spans="1:47" ht="19.5" customHeight="1">
      <c r="A5" s="331" t="s">
        <v>262</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row>
    <row r="6" spans="1:47" ht="19.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row>
    <row r="7" spans="1:47" ht="19.5" customHeight="1" hidden="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row>
    <row r="8" spans="1:47" ht="19.5" customHeight="1" hidden="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row>
    <row r="9" spans="1:47" ht="19.5" customHeight="1" hidden="1">
      <c r="A9" s="126"/>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row>
    <row r="10" spans="1:47" ht="19.5" customHeight="1" hidden="1">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row>
    <row r="11" ht="19.5" customHeight="1"/>
    <row r="12" spans="1:47" ht="15.75">
      <c r="A12" s="333"/>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row>
    <row r="13" ht="15.75">
      <c r="A13" s="128"/>
    </row>
    <row r="14" ht="15.75">
      <c r="A14" s="128"/>
    </row>
    <row r="15" ht="12.75" customHeight="1"/>
    <row r="16" spans="15:26" ht="18">
      <c r="O16" s="170" t="s">
        <v>157</v>
      </c>
      <c r="W16" s="169" t="s">
        <v>156</v>
      </c>
      <c r="X16" s="129"/>
      <c r="Y16" s="129"/>
      <c r="Z16" s="129"/>
    </row>
    <row r="17" spans="9:29" ht="15.75">
      <c r="I17" s="337">
        <f>VLOOKUP($AV$1,DbCasi,Pot!$T$9+1)</f>
        <v>0</v>
      </c>
      <c r="J17" s="337"/>
      <c r="K17" s="138" t="s">
        <v>161</v>
      </c>
      <c r="AA17" s="337">
        <f>VLOOKUP($AV$1,DbCasi,Pot!$Q$9+1)</f>
        <v>1100</v>
      </c>
      <c r="AB17" s="337"/>
      <c r="AC17" s="130" t="s">
        <v>161</v>
      </c>
    </row>
    <row r="18" spans="23:35" ht="12.75" customHeight="1">
      <c r="W18" s="128" t="str">
        <f>TEXT(AA17,"#.##0")&amp;" kW x "&amp;Testo!$J$77&amp;" Euro/kWh = "</f>
        <v>1.100 kW x 0,039 Euro/kWh = </v>
      </c>
      <c r="AG18" s="383">
        <f>ROUND(AA17*Testo!$J$77,1)</f>
        <v>42.9</v>
      </c>
      <c r="AH18" s="383"/>
      <c r="AI18" s="130" t="s">
        <v>165</v>
      </c>
    </row>
    <row r="19" ht="15.75" customHeight="1"/>
    <row r="20" ht="18">
      <c r="AG20" s="134" t="s">
        <v>162</v>
      </c>
    </row>
    <row r="21" spans="37:39" ht="12.75" customHeight="1" thickBot="1">
      <c r="AK21" s="337">
        <f>VLOOKUP($AV$1,DbCasi,Pot!$P$9+1)</f>
        <v>0</v>
      </c>
      <c r="AL21" s="337"/>
      <c r="AM21" s="130" t="s">
        <v>161</v>
      </c>
    </row>
    <row r="22" spans="14:48" ht="15" customHeight="1">
      <c r="N22" s="384" t="s">
        <v>144</v>
      </c>
      <c r="O22" s="384"/>
      <c r="P22" s="384"/>
      <c r="Q22" s="384"/>
      <c r="R22" s="384"/>
      <c r="T22" s="131"/>
      <c r="U22" s="132"/>
      <c r="V22" s="132"/>
      <c r="W22" s="132"/>
      <c r="X22" s="132"/>
      <c r="Y22" s="132"/>
      <c r="Z22" s="132"/>
      <c r="AA22" s="132"/>
      <c r="AB22" s="132"/>
      <c r="AC22" s="132"/>
      <c r="AD22" s="133"/>
      <c r="AE22" s="134"/>
      <c r="AG22" s="128" t="str">
        <f>TEXT(AK21,"#.##0")&amp;" kW x "&amp;TEXT(Testo!$J$75,"0,00")&amp;" Euro/kWh = "</f>
        <v>0 kW x 0,07 Euro/kWh = </v>
      </c>
      <c r="AP22" s="383">
        <f>ROUND(AK21*Testo!$J$75,1)</f>
        <v>0</v>
      </c>
      <c r="AQ22" s="383"/>
      <c r="AR22" s="130" t="s">
        <v>165</v>
      </c>
      <c r="AV22" s="136"/>
    </row>
    <row r="23" spans="1:48" ht="15.75" customHeight="1">
      <c r="A23" s="130" t="str">
        <f>TEXT(AA29,"#.##0")&amp;"kW / "&amp;Testo!$J$10&amp;" kWh/Sm3 = "</f>
        <v>2.500kW / 9,59 kWh/Sm3 = </v>
      </c>
      <c r="B23" s="130"/>
      <c r="C23" s="130"/>
      <c r="D23" s="130"/>
      <c r="E23" s="130"/>
      <c r="F23" s="130"/>
      <c r="G23" s="130"/>
      <c r="H23" s="130"/>
      <c r="I23" s="130"/>
      <c r="J23" s="333">
        <f>AA29/Testo!$J$10</f>
        <v>260.6882168925965</v>
      </c>
      <c r="K23" s="333"/>
      <c r="L23" s="130" t="s">
        <v>164</v>
      </c>
      <c r="N23" s="384"/>
      <c r="O23" s="384"/>
      <c r="P23" s="384"/>
      <c r="Q23" s="384"/>
      <c r="R23" s="384"/>
      <c r="T23" s="135"/>
      <c r="U23" s="335" t="s">
        <v>145</v>
      </c>
      <c r="V23" s="336"/>
      <c r="W23" s="336"/>
      <c r="X23" s="336"/>
      <c r="Y23" s="336"/>
      <c r="Z23" s="336"/>
      <c r="AA23" s="336"/>
      <c r="AB23" s="336"/>
      <c r="AC23" s="336"/>
      <c r="AD23" s="137"/>
      <c r="AV23" s="136"/>
    </row>
    <row r="24" spans="1:48" ht="15.75" customHeight="1">
      <c r="A24" s="130" t="str">
        <f>TEXT(J23,"000")&amp;"Sm3/h x "&amp;Testo!$J$15&amp;" Euro/Sm3 = "</f>
        <v>261Sm3/h x 0,3 Euro/Sm3 = </v>
      </c>
      <c r="B24" s="138"/>
      <c r="C24" s="138"/>
      <c r="D24" s="138"/>
      <c r="E24" s="138"/>
      <c r="F24" s="138"/>
      <c r="G24" s="138"/>
      <c r="H24" s="138"/>
      <c r="I24" s="138"/>
      <c r="J24" s="333">
        <f>ROUND(J23*Testo!$J$15,1)</f>
        <v>78.2</v>
      </c>
      <c r="K24" s="333"/>
      <c r="L24" s="130" t="s">
        <v>165</v>
      </c>
      <c r="T24" s="135"/>
      <c r="U24" s="336"/>
      <c r="V24" s="336"/>
      <c r="W24" s="336"/>
      <c r="X24" s="336"/>
      <c r="Y24" s="336"/>
      <c r="Z24" s="336"/>
      <c r="AA24" s="336"/>
      <c r="AB24" s="336"/>
      <c r="AC24" s="336"/>
      <c r="AD24" s="137"/>
      <c r="AV24" s="136"/>
    </row>
    <row r="25" spans="1:48" ht="12.75" customHeight="1">
      <c r="A25" s="138"/>
      <c r="B25" s="138"/>
      <c r="C25" s="138"/>
      <c r="D25" s="138"/>
      <c r="E25" s="138"/>
      <c r="F25" s="138"/>
      <c r="G25" s="138"/>
      <c r="H25" s="138"/>
      <c r="I25" s="138"/>
      <c r="J25" s="138"/>
      <c r="K25" s="138"/>
      <c r="L25" s="138"/>
      <c r="T25" s="135"/>
      <c r="U25" s="336"/>
      <c r="V25" s="336"/>
      <c r="W25" s="336"/>
      <c r="X25" s="336"/>
      <c r="Y25" s="336"/>
      <c r="Z25" s="336"/>
      <c r="AA25" s="336"/>
      <c r="AB25" s="336"/>
      <c r="AC25" s="336"/>
      <c r="AD25" s="137"/>
      <c r="AV25" s="136"/>
    </row>
    <row r="26" spans="20:48" ht="12.75">
      <c r="T26" s="135"/>
      <c r="U26" s="336"/>
      <c r="V26" s="336"/>
      <c r="W26" s="336"/>
      <c r="X26" s="336"/>
      <c r="Y26" s="336"/>
      <c r="Z26" s="336"/>
      <c r="AA26" s="336"/>
      <c r="AB26" s="336"/>
      <c r="AC26" s="336"/>
      <c r="AD26" s="137"/>
      <c r="AV26" s="136"/>
    </row>
    <row r="27" spans="1:48" ht="15.75" customHeight="1">
      <c r="A27" s="333" t="str">
        <f>TEXT(AA27,"#.##0")&amp;" kW x "&amp;Testo!$J$17&amp;" Euro/kWh = "</f>
        <v>1.000 kW x 0,011 Euro/kWh = </v>
      </c>
      <c r="B27" s="333"/>
      <c r="C27" s="333"/>
      <c r="D27" s="333"/>
      <c r="E27" s="333"/>
      <c r="F27" s="333"/>
      <c r="G27" s="333"/>
      <c r="H27" s="333"/>
      <c r="I27" s="333"/>
      <c r="J27" s="383">
        <f>ROUND(AA27*Testo!$J$17,1)</f>
        <v>11</v>
      </c>
      <c r="K27" s="383"/>
      <c r="L27" s="390" t="s">
        <v>165</v>
      </c>
      <c r="M27" s="390"/>
      <c r="T27" s="177" t="s">
        <v>158</v>
      </c>
      <c r="U27" s="136"/>
      <c r="V27" s="136"/>
      <c r="W27" s="136"/>
      <c r="X27" s="136"/>
      <c r="Y27" s="136"/>
      <c r="Z27" s="136"/>
      <c r="AA27" s="386">
        <f>VLOOKUP($AV$1,DbCasi,Pot!$J$9+1)</f>
        <v>1000</v>
      </c>
      <c r="AB27" s="386"/>
      <c r="AC27" s="176" t="s">
        <v>141</v>
      </c>
      <c r="AD27" s="137"/>
      <c r="AG27" s="134" t="s">
        <v>163</v>
      </c>
      <c r="AV27" s="136"/>
    </row>
    <row r="28" spans="1:39" ht="15.75" customHeight="1">
      <c r="A28" s="333"/>
      <c r="B28" s="333"/>
      <c r="C28" s="333"/>
      <c r="D28" s="333"/>
      <c r="E28" s="333"/>
      <c r="F28" s="333"/>
      <c r="G28" s="333"/>
      <c r="H28" s="333"/>
      <c r="I28" s="333"/>
      <c r="J28" s="383"/>
      <c r="K28" s="383"/>
      <c r="L28" s="390"/>
      <c r="M28" s="390"/>
      <c r="N28" s="385" t="s">
        <v>146</v>
      </c>
      <c r="O28" s="385"/>
      <c r="P28" s="385"/>
      <c r="Q28" s="385"/>
      <c r="R28" s="385"/>
      <c r="T28" s="177" t="s">
        <v>159</v>
      </c>
      <c r="U28" s="136"/>
      <c r="V28" s="136"/>
      <c r="W28" s="136"/>
      <c r="X28" s="136"/>
      <c r="Y28" s="136"/>
      <c r="Z28" s="136"/>
      <c r="AA28" s="386">
        <f>VLOOKUP($AV$1,DbCasi,Pot!$K$9+1)</f>
        <v>1100</v>
      </c>
      <c r="AB28" s="386"/>
      <c r="AC28" s="176" t="s">
        <v>141</v>
      </c>
      <c r="AD28" s="137"/>
      <c r="AK28" s="337">
        <f>VLOOKUP($AV$1,DbCasi,Pot!$N$9+1)</f>
        <v>1000</v>
      </c>
      <c r="AL28" s="337"/>
      <c r="AM28" s="130" t="s">
        <v>161</v>
      </c>
    </row>
    <row r="29" spans="14:44" ht="15.75" customHeight="1">
      <c r="N29" s="385"/>
      <c r="O29" s="385"/>
      <c r="P29" s="385"/>
      <c r="Q29" s="385"/>
      <c r="R29" s="385"/>
      <c r="T29" s="177" t="s">
        <v>160</v>
      </c>
      <c r="U29" s="136"/>
      <c r="V29" s="136"/>
      <c r="W29" s="136"/>
      <c r="X29" s="136"/>
      <c r="Y29" s="136"/>
      <c r="Z29" s="136"/>
      <c r="AA29" s="386">
        <f>VLOOKUP($AV$1,DbCasi,Pot!$L$9+1)</f>
        <v>2500</v>
      </c>
      <c r="AB29" s="386"/>
      <c r="AC29" s="176" t="s">
        <v>141</v>
      </c>
      <c r="AD29" s="137"/>
      <c r="AG29" s="128" t="str">
        <f>TEXT(AK28,"#.##0")&amp;" kW x "&amp;TEXT(Testo!$J$74,"0,00")&amp;" Euro/kWh = "</f>
        <v>1.000 kW x 0,10 Euro/kWh = </v>
      </c>
      <c r="AP29" s="383">
        <f>ROUND(AK28*Testo!$J$74,0)</f>
        <v>100</v>
      </c>
      <c r="AQ29" s="383"/>
      <c r="AR29" s="130" t="s">
        <v>165</v>
      </c>
    </row>
    <row r="30" spans="20:31" ht="15.75" customHeight="1" thickBot="1">
      <c r="T30" s="139"/>
      <c r="U30" s="140"/>
      <c r="V30" s="140"/>
      <c r="W30" s="140"/>
      <c r="X30" s="140"/>
      <c r="Y30" s="140"/>
      <c r="Z30" s="140"/>
      <c r="AA30" s="140"/>
      <c r="AB30" s="140"/>
      <c r="AC30" s="140"/>
      <c r="AD30" s="141"/>
      <c r="AE30" s="128"/>
    </row>
    <row r="31" spans="20:31" ht="15.75" customHeight="1">
      <c r="T31" s="136"/>
      <c r="U31" s="136"/>
      <c r="V31" s="136"/>
      <c r="W31" s="136"/>
      <c r="X31" s="136"/>
      <c r="Y31" s="136"/>
      <c r="Z31" s="136"/>
      <c r="AA31" s="136"/>
      <c r="AB31" s="136"/>
      <c r="AC31" s="136"/>
      <c r="AD31" s="136"/>
      <c r="AE31" s="128"/>
    </row>
    <row r="32" spans="20:31" ht="15.75" customHeight="1">
      <c r="T32" s="136"/>
      <c r="U32" s="136"/>
      <c r="V32" s="136"/>
      <c r="W32" s="136"/>
      <c r="X32" s="136"/>
      <c r="Y32" s="136"/>
      <c r="Z32" s="136"/>
      <c r="AA32" s="136"/>
      <c r="AB32" s="136"/>
      <c r="AC32" s="136"/>
      <c r="AD32" s="136"/>
      <c r="AE32" s="128"/>
    </row>
    <row r="33" spans="1:46" ht="18" customHeight="1">
      <c r="A33" s="142"/>
      <c r="B33" s="186" t="s">
        <v>171</v>
      </c>
      <c r="C33" s="187"/>
      <c r="D33" s="187"/>
      <c r="E33" s="187"/>
      <c r="F33" s="187"/>
      <c r="G33" s="187"/>
      <c r="H33" s="187"/>
      <c r="I33" s="187"/>
      <c r="J33" s="187"/>
      <c r="K33" s="187"/>
      <c r="L33" s="187"/>
      <c r="M33" s="187"/>
      <c r="N33" s="187"/>
      <c r="O33" s="187"/>
      <c r="P33" s="187"/>
      <c r="Q33" s="187"/>
      <c r="R33" s="187"/>
      <c r="S33" s="187"/>
      <c r="T33" s="187"/>
      <c r="U33" s="187"/>
      <c r="V33" s="187"/>
      <c r="W33" s="187"/>
      <c r="X33" s="187"/>
      <c r="Y33" s="188"/>
      <c r="Z33" s="387" t="s">
        <v>168</v>
      </c>
      <c r="AA33" s="388"/>
      <c r="AB33" s="388"/>
      <c r="AC33" s="388"/>
      <c r="AD33" s="388"/>
      <c r="AE33" s="388"/>
      <c r="AF33" s="389"/>
      <c r="AG33" s="387" t="s">
        <v>169</v>
      </c>
      <c r="AH33" s="388"/>
      <c r="AI33" s="388"/>
      <c r="AJ33" s="388"/>
      <c r="AK33" s="388"/>
      <c r="AL33" s="388"/>
      <c r="AM33" s="389"/>
      <c r="AN33" s="400" t="s">
        <v>198</v>
      </c>
      <c r="AO33" s="401"/>
      <c r="AP33" s="401"/>
      <c r="AQ33" s="401"/>
      <c r="AR33" s="401"/>
      <c r="AS33" s="401"/>
      <c r="AT33" s="402"/>
    </row>
    <row r="34" spans="1:46" ht="18">
      <c r="A34" s="143"/>
      <c r="B34" s="191" t="str">
        <f>Eco!$B$11</f>
        <v> - ricavi da energia elettrica cogenerata vs. stabilimento</v>
      </c>
      <c r="C34" s="178"/>
      <c r="D34" s="179"/>
      <c r="E34" s="179"/>
      <c r="F34" s="179"/>
      <c r="G34" s="179"/>
      <c r="H34" s="179"/>
      <c r="I34" s="179"/>
      <c r="J34" s="179"/>
      <c r="K34" s="179"/>
      <c r="L34" s="179"/>
      <c r="M34" s="179"/>
      <c r="N34" s="179"/>
      <c r="O34" s="179"/>
      <c r="P34" s="179"/>
      <c r="Q34" s="179"/>
      <c r="R34" s="179"/>
      <c r="S34" s="179"/>
      <c r="T34" s="179"/>
      <c r="U34" s="179"/>
      <c r="V34" s="179"/>
      <c r="W34" s="179"/>
      <c r="X34" s="179"/>
      <c r="Y34" s="180"/>
      <c r="Z34" s="395">
        <f>AP29</f>
        <v>100</v>
      </c>
      <c r="AA34" s="396"/>
      <c r="AB34" s="396"/>
      <c r="AC34" s="396"/>
      <c r="AD34" s="396"/>
      <c r="AE34" s="189"/>
      <c r="AF34" s="190"/>
      <c r="AG34" s="391"/>
      <c r="AH34" s="392"/>
      <c r="AI34" s="392"/>
      <c r="AJ34" s="392"/>
      <c r="AK34" s="392"/>
      <c r="AL34" s="189"/>
      <c r="AM34" s="190"/>
      <c r="AN34" s="403"/>
      <c r="AO34" s="404"/>
      <c r="AP34" s="404"/>
      <c r="AQ34" s="404"/>
      <c r="AR34" s="404"/>
      <c r="AS34" s="404"/>
      <c r="AT34" s="405"/>
    </row>
    <row r="35" spans="1:46" ht="18">
      <c r="A35" s="143"/>
      <c r="B35" s="191" t="str">
        <f>Eco!$B$12</f>
        <v> - ricavi da energia elettrica esportata</v>
      </c>
      <c r="C35" s="179"/>
      <c r="D35" s="179"/>
      <c r="E35" s="179"/>
      <c r="F35" s="179"/>
      <c r="G35" s="179"/>
      <c r="H35" s="179"/>
      <c r="I35" s="179"/>
      <c r="J35" s="179"/>
      <c r="K35" s="179"/>
      <c r="L35" s="179"/>
      <c r="M35" s="179"/>
      <c r="N35" s="179"/>
      <c r="O35" s="179"/>
      <c r="P35" s="179"/>
      <c r="Q35" s="179"/>
      <c r="R35" s="179"/>
      <c r="S35" s="179"/>
      <c r="T35" s="179"/>
      <c r="U35" s="179"/>
      <c r="V35" s="179"/>
      <c r="W35" s="179"/>
      <c r="X35" s="179"/>
      <c r="Y35" s="180"/>
      <c r="Z35" s="391">
        <f>AP22</f>
        <v>0</v>
      </c>
      <c r="AA35" s="392"/>
      <c r="AB35" s="392"/>
      <c r="AC35" s="392"/>
      <c r="AD35" s="392"/>
      <c r="AE35" s="189"/>
      <c r="AF35" s="190"/>
      <c r="AG35" s="391"/>
      <c r="AH35" s="392"/>
      <c r="AI35" s="392"/>
      <c r="AJ35" s="392"/>
      <c r="AK35" s="392"/>
      <c r="AL35" s="189"/>
      <c r="AM35" s="190"/>
      <c r="AN35" s="403"/>
      <c r="AO35" s="404"/>
      <c r="AP35" s="404"/>
      <c r="AQ35" s="404"/>
      <c r="AR35" s="404"/>
      <c r="AS35" s="404"/>
      <c r="AT35" s="405"/>
    </row>
    <row r="36" spans="1:46" ht="18">
      <c r="A36" s="143"/>
      <c r="B36" s="191" t="str">
        <f>Eco!$B$13</f>
        <v> - ricavi da energia termica cogenerata</v>
      </c>
      <c r="C36" s="181"/>
      <c r="D36" s="181"/>
      <c r="E36" s="181"/>
      <c r="F36" s="182"/>
      <c r="G36" s="182"/>
      <c r="H36" s="182"/>
      <c r="I36" s="182"/>
      <c r="J36" s="182"/>
      <c r="K36" s="182"/>
      <c r="L36" s="182"/>
      <c r="M36" s="182"/>
      <c r="N36" s="182"/>
      <c r="O36" s="182"/>
      <c r="P36" s="182"/>
      <c r="Q36" s="182"/>
      <c r="R36" s="182"/>
      <c r="S36" s="182"/>
      <c r="T36" s="182"/>
      <c r="U36" s="182"/>
      <c r="V36" s="182"/>
      <c r="W36" s="182"/>
      <c r="X36" s="182"/>
      <c r="Y36" s="183"/>
      <c r="Z36" s="391">
        <f>AG18</f>
        <v>42.9</v>
      </c>
      <c r="AA36" s="392"/>
      <c r="AB36" s="392"/>
      <c r="AC36" s="392"/>
      <c r="AD36" s="392"/>
      <c r="AE36" s="189"/>
      <c r="AF36" s="190"/>
      <c r="AG36" s="391"/>
      <c r="AH36" s="392"/>
      <c r="AI36" s="392"/>
      <c r="AJ36" s="392"/>
      <c r="AK36" s="392"/>
      <c r="AL36" s="189"/>
      <c r="AM36" s="190"/>
      <c r="AN36" s="403"/>
      <c r="AO36" s="404"/>
      <c r="AP36" s="404"/>
      <c r="AQ36" s="404"/>
      <c r="AR36" s="404"/>
      <c r="AS36" s="404"/>
      <c r="AT36" s="405"/>
    </row>
    <row r="37" spans="1:46" ht="18">
      <c r="A37" s="143"/>
      <c r="B37" s="191" t="str">
        <f>Eco!$B$15</f>
        <v> - costo gas naturale per cogeneratore</v>
      </c>
      <c r="C37" s="181"/>
      <c r="D37" s="181"/>
      <c r="E37" s="181"/>
      <c r="F37" s="182"/>
      <c r="G37" s="182"/>
      <c r="H37" s="182"/>
      <c r="I37" s="182"/>
      <c r="J37" s="182"/>
      <c r="K37" s="182"/>
      <c r="L37" s="182"/>
      <c r="M37" s="182"/>
      <c r="N37" s="182"/>
      <c r="O37" s="182"/>
      <c r="P37" s="182"/>
      <c r="Q37" s="182"/>
      <c r="R37" s="182"/>
      <c r="S37" s="182"/>
      <c r="T37" s="182"/>
      <c r="U37" s="182"/>
      <c r="V37" s="182"/>
      <c r="W37" s="182"/>
      <c r="X37" s="182"/>
      <c r="Y37" s="183"/>
      <c r="Z37" s="391"/>
      <c r="AA37" s="392"/>
      <c r="AB37" s="392"/>
      <c r="AC37" s="392"/>
      <c r="AD37" s="392"/>
      <c r="AE37" s="189"/>
      <c r="AF37" s="190"/>
      <c r="AG37" s="395">
        <f>-J24</f>
        <v>-78.2</v>
      </c>
      <c r="AH37" s="396"/>
      <c r="AI37" s="396"/>
      <c r="AJ37" s="396"/>
      <c r="AK37" s="396"/>
      <c r="AL37" s="189"/>
      <c r="AM37" s="190"/>
      <c r="AN37" s="403"/>
      <c r="AO37" s="404"/>
      <c r="AP37" s="404"/>
      <c r="AQ37" s="404"/>
      <c r="AR37" s="404"/>
      <c r="AS37" s="404"/>
      <c r="AT37" s="405"/>
    </row>
    <row r="38" spans="1:46" ht="18">
      <c r="A38" s="128"/>
      <c r="B38" s="191" t="str">
        <f>Eco!$B$17</f>
        <v> - costo manutenzione cogeneratore</v>
      </c>
      <c r="C38" s="178"/>
      <c r="D38" s="178"/>
      <c r="E38" s="178"/>
      <c r="F38" s="178"/>
      <c r="G38" s="178"/>
      <c r="H38" s="178"/>
      <c r="I38" s="178"/>
      <c r="J38" s="178"/>
      <c r="K38" s="178"/>
      <c r="L38" s="178"/>
      <c r="M38" s="178"/>
      <c r="N38" s="178"/>
      <c r="O38" s="178"/>
      <c r="P38" s="178"/>
      <c r="Q38" s="178"/>
      <c r="R38" s="178"/>
      <c r="S38" s="178"/>
      <c r="T38" s="178"/>
      <c r="U38" s="178"/>
      <c r="V38" s="178"/>
      <c r="W38" s="178"/>
      <c r="X38" s="178"/>
      <c r="Y38" s="184"/>
      <c r="Z38" s="391"/>
      <c r="AA38" s="392"/>
      <c r="AB38" s="392"/>
      <c r="AC38" s="392"/>
      <c r="AD38" s="392"/>
      <c r="AE38" s="189"/>
      <c r="AF38" s="190"/>
      <c r="AG38" s="391">
        <f>-J27</f>
        <v>-11</v>
      </c>
      <c r="AH38" s="392"/>
      <c r="AI38" s="392"/>
      <c r="AJ38" s="392"/>
      <c r="AK38" s="392"/>
      <c r="AL38" s="189"/>
      <c r="AM38" s="190"/>
      <c r="AN38" s="406"/>
      <c r="AO38" s="407"/>
      <c r="AP38" s="407"/>
      <c r="AQ38" s="407"/>
      <c r="AR38" s="407"/>
      <c r="AS38" s="407"/>
      <c r="AT38" s="408"/>
    </row>
    <row r="39" spans="1:46" ht="15.75">
      <c r="A39" s="128"/>
      <c r="B39" s="185" t="s">
        <v>170</v>
      </c>
      <c r="C39" s="178"/>
      <c r="D39" s="178"/>
      <c r="E39" s="178"/>
      <c r="F39" s="178"/>
      <c r="G39" s="178"/>
      <c r="H39" s="178"/>
      <c r="I39" s="178"/>
      <c r="J39" s="178"/>
      <c r="K39" s="178"/>
      <c r="L39" s="178"/>
      <c r="M39" s="178"/>
      <c r="N39" s="178"/>
      <c r="O39" s="178"/>
      <c r="P39" s="178"/>
      <c r="Q39" s="178"/>
      <c r="R39" s="178"/>
      <c r="S39" s="178"/>
      <c r="T39" s="178"/>
      <c r="U39" s="178"/>
      <c r="V39" s="178"/>
      <c r="W39" s="178"/>
      <c r="X39" s="178"/>
      <c r="Y39" s="184"/>
      <c r="Z39" s="393">
        <f>SUM(Z34:AF38)</f>
        <v>142.9</v>
      </c>
      <c r="AA39" s="394"/>
      <c r="AB39" s="394"/>
      <c r="AC39" s="394"/>
      <c r="AD39" s="394"/>
      <c r="AE39" s="189"/>
      <c r="AF39" s="190"/>
      <c r="AG39" s="393">
        <f>SUM(AG34:AM38)</f>
        <v>-89.2</v>
      </c>
      <c r="AH39" s="394"/>
      <c r="AI39" s="394"/>
      <c r="AJ39" s="394"/>
      <c r="AK39" s="394"/>
      <c r="AL39" s="189"/>
      <c r="AM39" s="190"/>
      <c r="AN39" s="397">
        <f>+Z39+AG39</f>
        <v>53.7</v>
      </c>
      <c r="AO39" s="398"/>
      <c r="AP39" s="398"/>
      <c r="AQ39" s="398"/>
      <c r="AR39" s="398"/>
      <c r="AS39" s="398"/>
      <c r="AT39" s="399"/>
    </row>
    <row r="40" spans="1:40" ht="18">
      <c r="A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sheetData>
  <mergeCells count="39">
    <mergeCell ref="AN39:AT39"/>
    <mergeCell ref="Z34:AD34"/>
    <mergeCell ref="Z35:AD35"/>
    <mergeCell ref="Z36:AD36"/>
    <mergeCell ref="Z37:AD37"/>
    <mergeCell ref="Z38:AD38"/>
    <mergeCell ref="AN33:AT38"/>
    <mergeCell ref="Z33:AF33"/>
    <mergeCell ref="Z39:AD39"/>
    <mergeCell ref="AG34:AK34"/>
    <mergeCell ref="AG36:AK36"/>
    <mergeCell ref="AG38:AK38"/>
    <mergeCell ref="AG39:AK39"/>
    <mergeCell ref="AG37:AK37"/>
    <mergeCell ref="AG33:AM33"/>
    <mergeCell ref="L27:M28"/>
    <mergeCell ref="AK28:AL28"/>
    <mergeCell ref="AG35:AK35"/>
    <mergeCell ref="AP29:AQ29"/>
    <mergeCell ref="AP22:AQ22"/>
    <mergeCell ref="J27:K28"/>
    <mergeCell ref="AA29:AB29"/>
    <mergeCell ref="J24:K24"/>
    <mergeCell ref="AA27:AB27"/>
    <mergeCell ref="AA28:AB28"/>
    <mergeCell ref="A27:I28"/>
    <mergeCell ref="AA17:AB17"/>
    <mergeCell ref="I17:J17"/>
    <mergeCell ref="N22:R23"/>
    <mergeCell ref="N28:R29"/>
    <mergeCell ref="A5:AU5"/>
    <mergeCell ref="A2:AU2"/>
    <mergeCell ref="A1:AU1"/>
    <mergeCell ref="J23:K23"/>
    <mergeCell ref="A4:AU4"/>
    <mergeCell ref="A12:AU12"/>
    <mergeCell ref="U23:AC26"/>
    <mergeCell ref="AK21:AL21"/>
    <mergeCell ref="AG18:AH18"/>
  </mergeCells>
  <printOptions horizontalCentered="1"/>
  <pageMargins left="0.5905511811023623" right="0.5905511811023623" top="0.984251968503937" bottom="0.5905511811023623" header="0.5118110236220472" footer="0.31496062992125984"/>
  <pageSetup horizontalDpi="300" verticalDpi="300" orientation="landscape" paperSize="9" scale="80" r:id="rId2"/>
  <headerFooter alignWithMargins="0">
    <oddFooter>&amp;RCogenerazione - Pag. &amp;P</oddFooter>
  </headerFooter>
  <drawing r:id="rId1"/>
</worksheet>
</file>

<file path=xl/worksheets/sheet7.xml><?xml version="1.0" encoding="utf-8"?>
<worksheet xmlns="http://schemas.openxmlformats.org/spreadsheetml/2006/main" xmlns:r="http://schemas.openxmlformats.org/officeDocument/2006/relationships">
  <dimension ref="A1:BF80"/>
  <sheetViews>
    <sheetView showGridLines="0" zoomScale="75" zoomScaleNormal="75" workbookViewId="0" topLeftCell="A1">
      <selection activeCell="A1" sqref="A1:AU1"/>
    </sheetView>
  </sheetViews>
  <sheetFormatPr defaultColWidth="9.140625" defaultRowHeight="12.75"/>
  <cols>
    <col min="1" max="1" width="5.421875" style="127" customWidth="1"/>
    <col min="2" max="10" width="3.421875" style="127" customWidth="1"/>
    <col min="11" max="11" width="3.28125" style="127" customWidth="1"/>
    <col min="12" max="12" width="5.7109375" style="127" customWidth="1"/>
    <col min="13" max="47" width="3.421875" style="127" customWidth="1"/>
    <col min="48" max="49" width="7.57421875" style="127" customWidth="1"/>
    <col min="50" max="50" width="6.7109375" style="127" customWidth="1"/>
    <col min="51" max="16384" width="3.421875" style="127" customWidth="1"/>
  </cols>
  <sheetData>
    <row r="1" spans="1:49" ht="19.5" customHeight="1">
      <c r="A1" s="332" t="s">
        <v>220</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243">
        <v>2</v>
      </c>
      <c r="AW1" s="171" t="s">
        <v>187</v>
      </c>
    </row>
    <row r="2" spans="1:58" ht="19.5" customHeight="1">
      <c r="A2" s="332" t="str">
        <f>"CONDIZIONE DI FUNZIONAMENTO "&amp;AV2&amp;AW2&amp;IF(AX2&gt;0," (Lo stesso schema vale anche per la condizione "&amp;AX2&amp;")","")</f>
        <v>CONDIZIONE DI FUNZIONAMENTO 3A</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244">
        <f>VLOOKUP($AV1,DbCasi,Pot!$B$39)</f>
        <v>3</v>
      </c>
      <c r="AW2" s="242" t="str">
        <f>IF(VLOOKUP($AV1,DbCasi,Pot!$C$39)&lt;&gt;0,VLOOKUP($AV1,DbCasi,Pot!$C$39),"")</f>
        <v>A</v>
      </c>
      <c r="AX2" s="237">
        <f>VLOOKUP($AV1,DbCasi,Pot!$D$39)</f>
        <v>0</v>
      </c>
      <c r="AY2" s="238" t="s">
        <v>226</v>
      </c>
      <c r="AZ2" s="239"/>
      <c r="BA2" s="239"/>
      <c r="BB2" s="239"/>
      <c r="BC2" s="239"/>
      <c r="BD2" s="239"/>
      <c r="BE2" s="239"/>
      <c r="BF2" s="240"/>
    </row>
    <row r="3" spans="1:47" ht="19.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row>
    <row r="4" spans="1:51" ht="19.5" customHeight="1">
      <c r="A4" s="334" t="str">
        <f>"Regolazione : "&amp;AY4&amp;IF(AV4=4,"","  -  Carico del motore : "&amp;TEXT(AW4*100,"00,0")&amp;"%")</f>
        <v>Regolazione : Carico Elettrico Comanda  -  Carico del motore : 100,0%</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229">
        <f>VLOOKUP($AV1,DbCasi,Pot!$H$9+1)</f>
        <v>1</v>
      </c>
      <c r="AW4" s="230">
        <f>VLOOKUP($AV1,DbCasi,Pot!$I$9+1)</f>
        <v>1</v>
      </c>
      <c r="AY4" s="127" t="str">
        <f>CHOOSE(AV4,"Carico Elettrico Comanda","Carico Termico Comanda","","Motore a carico massimo","Motore a carico minimo")</f>
        <v>Carico Elettrico Comanda</v>
      </c>
    </row>
    <row r="5" spans="1:47" ht="19.5" customHeight="1">
      <c r="A5" s="331" t="s">
        <v>263</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row>
    <row r="6" spans="1:47" ht="19.5" customHeight="1">
      <c r="A6" s="331" t="s">
        <v>264</v>
      </c>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row>
    <row r="7" spans="1:47" ht="19.5" customHeight="1" hidden="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row>
    <row r="8" spans="1:47" ht="19.5" customHeight="1" hidden="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row>
    <row r="9" spans="1:47" ht="19.5" customHeight="1" hidden="1">
      <c r="A9" s="126"/>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row>
    <row r="10" spans="1:47" ht="19.5" customHeight="1" hidden="1">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row>
    <row r="11" ht="19.5" customHeight="1"/>
    <row r="12" spans="1:47" ht="15.75">
      <c r="A12" s="333"/>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row>
    <row r="13" ht="15.75">
      <c r="A13" s="128"/>
    </row>
    <row r="14" ht="15.75">
      <c r="A14" s="128"/>
    </row>
    <row r="15" ht="12.75" customHeight="1"/>
    <row r="16" spans="15:26" ht="18">
      <c r="O16" s="170" t="s">
        <v>157</v>
      </c>
      <c r="W16" s="169" t="s">
        <v>156</v>
      </c>
      <c r="X16" s="129"/>
      <c r="Y16" s="129"/>
      <c r="Z16" s="129"/>
    </row>
    <row r="17" spans="9:29" ht="15.75">
      <c r="I17" s="337">
        <f>VLOOKUP($AV$1,DbCasi,Pot!$T$9+1)</f>
        <v>50</v>
      </c>
      <c r="J17" s="337"/>
      <c r="K17" s="138" t="s">
        <v>161</v>
      </c>
      <c r="AA17" s="337">
        <f>VLOOKUP($AV$1,DbCasi,Pot!$Q$9+1)</f>
        <v>1050</v>
      </c>
      <c r="AB17" s="337"/>
      <c r="AC17" s="130" t="s">
        <v>161</v>
      </c>
    </row>
    <row r="18" spans="23:35" ht="12.75" customHeight="1">
      <c r="W18" s="128" t="str">
        <f>TEXT(AA17,"#.##0")&amp;" kW x "&amp;Testo!$J$77&amp;" Euro/kWh = "</f>
        <v>1.050 kW x 0,039 Euro/kWh = </v>
      </c>
      <c r="AG18" s="383">
        <f>ROUND(AA17*Testo!$J$77,1)</f>
        <v>41</v>
      </c>
      <c r="AH18" s="383"/>
      <c r="AI18" s="130" t="s">
        <v>165</v>
      </c>
    </row>
    <row r="19" ht="15.75" customHeight="1"/>
    <row r="20" ht="18">
      <c r="AG20" s="134" t="s">
        <v>162</v>
      </c>
    </row>
    <row r="21" spans="37:39" ht="12.75" customHeight="1" thickBot="1">
      <c r="AK21" s="337">
        <f>VLOOKUP($AV$1,DbCasi,Pot!$P$9+1)</f>
        <v>0</v>
      </c>
      <c r="AL21" s="337"/>
      <c r="AM21" s="130" t="s">
        <v>161</v>
      </c>
    </row>
    <row r="22" spans="14:48" ht="15" customHeight="1">
      <c r="N22" s="384" t="s">
        <v>144</v>
      </c>
      <c r="O22" s="384"/>
      <c r="P22" s="384"/>
      <c r="Q22" s="384"/>
      <c r="R22" s="384"/>
      <c r="T22" s="131"/>
      <c r="U22" s="132"/>
      <c r="V22" s="132"/>
      <c r="W22" s="132"/>
      <c r="X22" s="132"/>
      <c r="Y22" s="132"/>
      <c r="Z22" s="132"/>
      <c r="AA22" s="132"/>
      <c r="AB22" s="132"/>
      <c r="AC22" s="132"/>
      <c r="AD22" s="133"/>
      <c r="AE22" s="134"/>
      <c r="AG22" s="128" t="str">
        <f>TEXT(AK21,"#.##0")&amp;" kW x "&amp;TEXT(Testo!$J$75,"0,00")&amp;" Euro/kWh = "</f>
        <v>0 kW x 0,07 Euro/kWh = </v>
      </c>
      <c r="AP22" s="383">
        <f>ROUND(AK21*Testo!$J$75,1)</f>
        <v>0</v>
      </c>
      <c r="AQ22" s="383"/>
      <c r="AR22" s="130" t="s">
        <v>165</v>
      </c>
      <c r="AV22" s="136"/>
    </row>
    <row r="23" spans="1:48" ht="15.75" customHeight="1">
      <c r="A23" s="130" t="str">
        <f>TEXT(AA29,"#.##0")&amp;"kW / "&amp;Testo!$J$10&amp;" kWh/Sm3 = "</f>
        <v>2.500kW / 9,59 kWh/Sm3 = </v>
      </c>
      <c r="B23" s="130"/>
      <c r="C23" s="130"/>
      <c r="D23" s="130"/>
      <c r="E23" s="130"/>
      <c r="F23" s="130"/>
      <c r="G23" s="130"/>
      <c r="H23" s="130"/>
      <c r="I23" s="130"/>
      <c r="J23" s="333">
        <f>AA29/Testo!$J$10</f>
        <v>260.6882168925965</v>
      </c>
      <c r="K23" s="333"/>
      <c r="L23" s="130" t="s">
        <v>164</v>
      </c>
      <c r="N23" s="384"/>
      <c r="O23" s="384"/>
      <c r="P23" s="384"/>
      <c r="Q23" s="384"/>
      <c r="R23" s="384"/>
      <c r="T23" s="135"/>
      <c r="U23" s="335" t="s">
        <v>145</v>
      </c>
      <c r="V23" s="336"/>
      <c r="W23" s="336"/>
      <c r="X23" s="336"/>
      <c r="Y23" s="336"/>
      <c r="Z23" s="336"/>
      <c r="AA23" s="336"/>
      <c r="AB23" s="336"/>
      <c r="AC23" s="336"/>
      <c r="AD23" s="137"/>
      <c r="AV23" s="136"/>
    </row>
    <row r="24" spans="1:48" ht="15.75" customHeight="1">
      <c r="A24" s="130" t="str">
        <f>TEXT(J23,"000")&amp;"Sm3/h x "&amp;Testo!$J$15&amp;" Euro/Sm3 = "</f>
        <v>261Sm3/h x 0,3 Euro/Sm3 = </v>
      </c>
      <c r="B24" s="138"/>
      <c r="C24" s="138"/>
      <c r="D24" s="138"/>
      <c r="E24" s="138"/>
      <c r="F24" s="138"/>
      <c r="G24" s="138"/>
      <c r="H24" s="138"/>
      <c r="I24" s="138"/>
      <c r="J24" s="333">
        <f>ROUND(J23*Testo!$J$15,1)</f>
        <v>78.2</v>
      </c>
      <c r="K24" s="333"/>
      <c r="L24" s="130" t="s">
        <v>165</v>
      </c>
      <c r="T24" s="135"/>
      <c r="U24" s="336"/>
      <c r="V24" s="336"/>
      <c r="W24" s="336"/>
      <c r="X24" s="336"/>
      <c r="Y24" s="336"/>
      <c r="Z24" s="336"/>
      <c r="AA24" s="336"/>
      <c r="AB24" s="336"/>
      <c r="AC24" s="336"/>
      <c r="AD24" s="137"/>
      <c r="AV24" s="136"/>
    </row>
    <row r="25" spans="1:48" ht="12.75" customHeight="1">
      <c r="A25" s="138"/>
      <c r="B25" s="138"/>
      <c r="C25" s="138"/>
      <c r="D25" s="138"/>
      <c r="E25" s="138"/>
      <c r="F25" s="138"/>
      <c r="G25" s="138"/>
      <c r="H25" s="138"/>
      <c r="I25" s="138"/>
      <c r="J25" s="138"/>
      <c r="K25" s="138"/>
      <c r="L25" s="138"/>
      <c r="T25" s="135"/>
      <c r="U25" s="336"/>
      <c r="V25" s="336"/>
      <c r="W25" s="336"/>
      <c r="X25" s="336"/>
      <c r="Y25" s="336"/>
      <c r="Z25" s="336"/>
      <c r="AA25" s="336"/>
      <c r="AB25" s="336"/>
      <c r="AC25" s="336"/>
      <c r="AD25" s="137"/>
      <c r="AV25" s="136"/>
    </row>
    <row r="26" spans="20:48" ht="12.75">
      <c r="T26" s="135"/>
      <c r="U26" s="336"/>
      <c r="V26" s="336"/>
      <c r="W26" s="336"/>
      <c r="X26" s="336"/>
      <c r="Y26" s="336"/>
      <c r="Z26" s="336"/>
      <c r="AA26" s="336"/>
      <c r="AB26" s="336"/>
      <c r="AC26" s="336"/>
      <c r="AD26" s="137"/>
      <c r="AV26" s="136"/>
    </row>
    <row r="27" spans="1:48" ht="15.75" customHeight="1">
      <c r="A27" s="333" t="str">
        <f>TEXT(AA27,"#.##0")&amp;" kW x "&amp;Testo!$J$17&amp;" Euro/kWh = "</f>
        <v>1.000 kW x 0,011 Euro/kWh = </v>
      </c>
      <c r="B27" s="333"/>
      <c r="C27" s="333"/>
      <c r="D27" s="333"/>
      <c r="E27" s="333"/>
      <c r="F27" s="333"/>
      <c r="G27" s="333"/>
      <c r="H27" s="333"/>
      <c r="I27" s="333"/>
      <c r="J27" s="383">
        <f>ROUND(AA27*Testo!$J$17,1)</f>
        <v>11</v>
      </c>
      <c r="K27" s="383"/>
      <c r="L27" s="390" t="s">
        <v>165</v>
      </c>
      <c r="M27" s="390"/>
      <c r="T27" s="177" t="s">
        <v>158</v>
      </c>
      <c r="U27" s="136"/>
      <c r="V27" s="136"/>
      <c r="W27" s="136"/>
      <c r="X27" s="136"/>
      <c r="Y27" s="136"/>
      <c r="Z27" s="136"/>
      <c r="AA27" s="386">
        <f>VLOOKUP($AV$1,DbCasi,Pot!$J$9+1)</f>
        <v>1000</v>
      </c>
      <c r="AB27" s="386"/>
      <c r="AC27" s="176" t="s">
        <v>141</v>
      </c>
      <c r="AD27" s="137"/>
      <c r="AG27" s="134" t="s">
        <v>163</v>
      </c>
      <c r="AV27" s="136"/>
    </row>
    <row r="28" spans="1:39" ht="15.75" customHeight="1">
      <c r="A28" s="333"/>
      <c r="B28" s="333"/>
      <c r="C28" s="333"/>
      <c r="D28" s="333"/>
      <c r="E28" s="333"/>
      <c r="F28" s="333"/>
      <c r="G28" s="333"/>
      <c r="H28" s="333"/>
      <c r="I28" s="333"/>
      <c r="J28" s="383"/>
      <c r="K28" s="383"/>
      <c r="L28" s="390"/>
      <c r="M28" s="390"/>
      <c r="N28" s="385" t="s">
        <v>146</v>
      </c>
      <c r="O28" s="385"/>
      <c r="P28" s="385"/>
      <c r="Q28" s="385"/>
      <c r="R28" s="385"/>
      <c r="T28" s="177" t="s">
        <v>159</v>
      </c>
      <c r="U28" s="136"/>
      <c r="V28" s="136"/>
      <c r="W28" s="136"/>
      <c r="X28" s="136"/>
      <c r="Y28" s="136"/>
      <c r="Z28" s="136"/>
      <c r="AA28" s="386">
        <f>VLOOKUP($AV$1,DbCasi,Pot!$K$9+1)</f>
        <v>1100</v>
      </c>
      <c r="AB28" s="386"/>
      <c r="AC28" s="176" t="s">
        <v>141</v>
      </c>
      <c r="AD28" s="137"/>
      <c r="AK28" s="337">
        <f>VLOOKUP($AV$1,DbCasi,Pot!$N$9+1)</f>
        <v>1000</v>
      </c>
      <c r="AL28" s="337"/>
      <c r="AM28" s="130" t="s">
        <v>161</v>
      </c>
    </row>
    <row r="29" spans="14:44" ht="15.75" customHeight="1">
      <c r="N29" s="385"/>
      <c r="O29" s="385"/>
      <c r="P29" s="385"/>
      <c r="Q29" s="385"/>
      <c r="R29" s="385"/>
      <c r="T29" s="177" t="s">
        <v>160</v>
      </c>
      <c r="U29" s="136"/>
      <c r="V29" s="136"/>
      <c r="W29" s="136"/>
      <c r="X29" s="136"/>
      <c r="Y29" s="136"/>
      <c r="Z29" s="136"/>
      <c r="AA29" s="386">
        <f>VLOOKUP($AV$1,DbCasi,Pot!$L$9+1)</f>
        <v>2500</v>
      </c>
      <c r="AB29" s="386"/>
      <c r="AC29" s="176" t="s">
        <v>141</v>
      </c>
      <c r="AD29" s="137"/>
      <c r="AG29" s="128" t="str">
        <f>TEXT(AK28,"#.##0")&amp;" kW x "&amp;TEXT(Testo!$J$74,"0,00")&amp;" Euro/kWh = "</f>
        <v>1.000 kW x 0,10 Euro/kWh = </v>
      </c>
      <c r="AP29" s="383">
        <f>ROUND(AK28*Testo!$J$74,0)</f>
        <v>100</v>
      </c>
      <c r="AQ29" s="383"/>
      <c r="AR29" s="130" t="s">
        <v>165</v>
      </c>
    </row>
    <row r="30" spans="20:31" ht="15.75" customHeight="1" thickBot="1">
      <c r="T30" s="139"/>
      <c r="U30" s="140"/>
      <c r="V30" s="140"/>
      <c r="W30" s="140"/>
      <c r="X30" s="140"/>
      <c r="Y30" s="140"/>
      <c r="Z30" s="140"/>
      <c r="AA30" s="140"/>
      <c r="AB30" s="140"/>
      <c r="AC30" s="140"/>
      <c r="AD30" s="141"/>
      <c r="AE30" s="128"/>
    </row>
    <row r="31" spans="20:31" ht="15.75" customHeight="1">
      <c r="T31" s="136"/>
      <c r="U31" s="136"/>
      <c r="V31" s="136"/>
      <c r="W31" s="136"/>
      <c r="X31" s="136"/>
      <c r="Y31" s="136"/>
      <c r="Z31" s="136"/>
      <c r="AA31" s="136"/>
      <c r="AB31" s="136"/>
      <c r="AC31" s="136"/>
      <c r="AD31" s="136"/>
      <c r="AE31" s="128"/>
    </row>
    <row r="32" spans="20:31" ht="15.75" customHeight="1">
      <c r="T32" s="136"/>
      <c r="U32" s="136"/>
      <c r="V32" s="136"/>
      <c r="W32" s="136"/>
      <c r="X32" s="136"/>
      <c r="Y32" s="136"/>
      <c r="Z32" s="136"/>
      <c r="AA32" s="136"/>
      <c r="AB32" s="136"/>
      <c r="AC32" s="136"/>
      <c r="AD32" s="136"/>
      <c r="AE32" s="128"/>
    </row>
    <row r="33" spans="1:46" ht="18" customHeight="1">
      <c r="A33" s="142"/>
      <c r="B33" s="186" t="s">
        <v>171</v>
      </c>
      <c r="C33" s="187"/>
      <c r="D33" s="187"/>
      <c r="E33" s="187"/>
      <c r="F33" s="187"/>
      <c r="G33" s="187"/>
      <c r="H33" s="187"/>
      <c r="I33" s="187"/>
      <c r="J33" s="187"/>
      <c r="K33" s="187"/>
      <c r="L33" s="187"/>
      <c r="M33" s="187"/>
      <c r="N33" s="187"/>
      <c r="O33" s="187"/>
      <c r="P33" s="187"/>
      <c r="Q33" s="187"/>
      <c r="R33" s="187"/>
      <c r="S33" s="187"/>
      <c r="T33" s="187"/>
      <c r="U33" s="187"/>
      <c r="V33" s="187"/>
      <c r="W33" s="187"/>
      <c r="X33" s="187"/>
      <c r="Y33" s="188"/>
      <c r="Z33" s="387" t="s">
        <v>168</v>
      </c>
      <c r="AA33" s="388"/>
      <c r="AB33" s="388"/>
      <c r="AC33" s="388"/>
      <c r="AD33" s="388"/>
      <c r="AE33" s="388"/>
      <c r="AF33" s="389"/>
      <c r="AG33" s="387" t="s">
        <v>169</v>
      </c>
      <c r="AH33" s="388"/>
      <c r="AI33" s="388"/>
      <c r="AJ33" s="388"/>
      <c r="AK33" s="388"/>
      <c r="AL33" s="388"/>
      <c r="AM33" s="389"/>
      <c r="AN33" s="400" t="s">
        <v>198</v>
      </c>
      <c r="AO33" s="401"/>
      <c r="AP33" s="401"/>
      <c r="AQ33" s="401"/>
      <c r="AR33" s="401"/>
      <c r="AS33" s="401"/>
      <c r="AT33" s="402"/>
    </row>
    <row r="34" spans="1:46" ht="18">
      <c r="A34" s="143"/>
      <c r="B34" s="191" t="str">
        <f>Eco!$B$11</f>
        <v> - ricavi da energia elettrica cogenerata vs. stabilimento</v>
      </c>
      <c r="C34" s="178"/>
      <c r="D34" s="179"/>
      <c r="E34" s="179"/>
      <c r="F34" s="179"/>
      <c r="G34" s="179"/>
      <c r="H34" s="179"/>
      <c r="I34" s="179"/>
      <c r="J34" s="179"/>
      <c r="K34" s="179"/>
      <c r="L34" s="179"/>
      <c r="M34" s="179"/>
      <c r="N34" s="179"/>
      <c r="O34" s="179"/>
      <c r="P34" s="179"/>
      <c r="Q34" s="179"/>
      <c r="R34" s="179"/>
      <c r="S34" s="179"/>
      <c r="T34" s="179"/>
      <c r="U34" s="179"/>
      <c r="V34" s="179"/>
      <c r="W34" s="179"/>
      <c r="X34" s="179"/>
      <c r="Y34" s="180"/>
      <c r="Z34" s="391">
        <f>AP29</f>
        <v>100</v>
      </c>
      <c r="AA34" s="392"/>
      <c r="AB34" s="392"/>
      <c r="AC34" s="392"/>
      <c r="AD34" s="392"/>
      <c r="AE34" s="189"/>
      <c r="AF34" s="190"/>
      <c r="AG34" s="391"/>
      <c r="AH34" s="392"/>
      <c r="AI34" s="392"/>
      <c r="AJ34" s="392"/>
      <c r="AK34" s="392"/>
      <c r="AL34" s="189"/>
      <c r="AM34" s="190"/>
      <c r="AN34" s="403"/>
      <c r="AO34" s="404"/>
      <c r="AP34" s="404"/>
      <c r="AQ34" s="404"/>
      <c r="AR34" s="404"/>
      <c r="AS34" s="404"/>
      <c r="AT34" s="405"/>
    </row>
    <row r="35" spans="1:46" ht="18">
      <c r="A35" s="143"/>
      <c r="B35" s="191" t="str">
        <f>Eco!$B$12</f>
        <v> - ricavi da energia elettrica esportata</v>
      </c>
      <c r="C35" s="179"/>
      <c r="D35" s="179"/>
      <c r="E35" s="179"/>
      <c r="F35" s="179"/>
      <c r="G35" s="179"/>
      <c r="H35" s="179"/>
      <c r="I35" s="179"/>
      <c r="J35" s="179"/>
      <c r="K35" s="179"/>
      <c r="L35" s="179"/>
      <c r="M35" s="179"/>
      <c r="N35" s="179"/>
      <c r="O35" s="179"/>
      <c r="P35" s="179"/>
      <c r="Q35" s="179"/>
      <c r="R35" s="179"/>
      <c r="S35" s="179"/>
      <c r="T35" s="179"/>
      <c r="U35" s="179"/>
      <c r="V35" s="179"/>
      <c r="W35" s="179"/>
      <c r="X35" s="179"/>
      <c r="Y35" s="180"/>
      <c r="Z35" s="391">
        <f>AP22</f>
        <v>0</v>
      </c>
      <c r="AA35" s="392"/>
      <c r="AB35" s="392"/>
      <c r="AC35" s="392"/>
      <c r="AD35" s="392"/>
      <c r="AE35" s="189"/>
      <c r="AF35" s="190"/>
      <c r="AG35" s="391"/>
      <c r="AH35" s="392"/>
      <c r="AI35" s="392"/>
      <c r="AJ35" s="392"/>
      <c r="AK35" s="392"/>
      <c r="AL35" s="189"/>
      <c r="AM35" s="190"/>
      <c r="AN35" s="403"/>
      <c r="AO35" s="404"/>
      <c r="AP35" s="404"/>
      <c r="AQ35" s="404"/>
      <c r="AR35" s="404"/>
      <c r="AS35" s="404"/>
      <c r="AT35" s="405"/>
    </row>
    <row r="36" spans="1:46" ht="18">
      <c r="A36" s="143"/>
      <c r="B36" s="191" t="str">
        <f>Eco!$B$13</f>
        <v> - ricavi da energia termica cogenerata</v>
      </c>
      <c r="C36" s="181"/>
      <c r="D36" s="181"/>
      <c r="E36" s="181"/>
      <c r="F36" s="182"/>
      <c r="G36" s="182"/>
      <c r="H36" s="182"/>
      <c r="I36" s="182"/>
      <c r="J36" s="182"/>
      <c r="K36" s="182"/>
      <c r="L36" s="182"/>
      <c r="M36" s="182"/>
      <c r="N36" s="182"/>
      <c r="O36" s="182"/>
      <c r="P36" s="182"/>
      <c r="Q36" s="182"/>
      <c r="R36" s="182"/>
      <c r="S36" s="182"/>
      <c r="T36" s="182"/>
      <c r="U36" s="182"/>
      <c r="V36" s="182"/>
      <c r="W36" s="182"/>
      <c r="X36" s="182"/>
      <c r="Y36" s="183"/>
      <c r="Z36" s="391">
        <f>AG18</f>
        <v>41</v>
      </c>
      <c r="AA36" s="392"/>
      <c r="AB36" s="392"/>
      <c r="AC36" s="392"/>
      <c r="AD36" s="392"/>
      <c r="AE36" s="189"/>
      <c r="AF36" s="190"/>
      <c r="AG36" s="391"/>
      <c r="AH36" s="392"/>
      <c r="AI36" s="392"/>
      <c r="AJ36" s="392"/>
      <c r="AK36" s="392"/>
      <c r="AL36" s="189"/>
      <c r="AM36" s="190"/>
      <c r="AN36" s="403"/>
      <c r="AO36" s="404"/>
      <c r="AP36" s="404"/>
      <c r="AQ36" s="404"/>
      <c r="AR36" s="404"/>
      <c r="AS36" s="404"/>
      <c r="AT36" s="405"/>
    </row>
    <row r="37" spans="1:46" ht="18">
      <c r="A37" s="143"/>
      <c r="B37" s="191" t="str">
        <f>Eco!$B$15</f>
        <v> - costo gas naturale per cogeneratore</v>
      </c>
      <c r="C37" s="181"/>
      <c r="D37" s="181"/>
      <c r="E37" s="181"/>
      <c r="F37" s="182"/>
      <c r="G37" s="182"/>
      <c r="H37" s="182"/>
      <c r="I37" s="182"/>
      <c r="J37" s="182"/>
      <c r="K37" s="182"/>
      <c r="L37" s="182"/>
      <c r="M37" s="182"/>
      <c r="N37" s="182"/>
      <c r="O37" s="182"/>
      <c r="P37" s="182"/>
      <c r="Q37" s="182"/>
      <c r="R37" s="182"/>
      <c r="S37" s="182"/>
      <c r="T37" s="182"/>
      <c r="U37" s="182"/>
      <c r="V37" s="182"/>
      <c r="W37" s="182"/>
      <c r="X37" s="182"/>
      <c r="Y37" s="183"/>
      <c r="Z37" s="391"/>
      <c r="AA37" s="392"/>
      <c r="AB37" s="392"/>
      <c r="AC37" s="392"/>
      <c r="AD37" s="392"/>
      <c r="AE37" s="189"/>
      <c r="AF37" s="190"/>
      <c r="AG37" s="391">
        <f>-J24</f>
        <v>-78.2</v>
      </c>
      <c r="AH37" s="392"/>
      <c r="AI37" s="392"/>
      <c r="AJ37" s="392"/>
      <c r="AK37" s="392"/>
      <c r="AL37" s="189"/>
      <c r="AM37" s="190"/>
      <c r="AN37" s="403"/>
      <c r="AO37" s="404"/>
      <c r="AP37" s="404"/>
      <c r="AQ37" s="404"/>
      <c r="AR37" s="404"/>
      <c r="AS37" s="404"/>
      <c r="AT37" s="405"/>
    </row>
    <row r="38" spans="1:46" ht="18">
      <c r="A38" s="128"/>
      <c r="B38" s="191" t="str">
        <f>Eco!$B$17</f>
        <v> - costo manutenzione cogeneratore</v>
      </c>
      <c r="C38" s="178"/>
      <c r="D38" s="178"/>
      <c r="E38" s="178"/>
      <c r="F38" s="178"/>
      <c r="G38" s="178"/>
      <c r="H38" s="178"/>
      <c r="I38" s="178"/>
      <c r="J38" s="178"/>
      <c r="K38" s="178"/>
      <c r="L38" s="178"/>
      <c r="M38" s="178"/>
      <c r="N38" s="178"/>
      <c r="O38" s="178"/>
      <c r="P38" s="178"/>
      <c r="Q38" s="178"/>
      <c r="R38" s="178"/>
      <c r="S38" s="178"/>
      <c r="T38" s="178"/>
      <c r="U38" s="178"/>
      <c r="V38" s="178"/>
      <c r="W38" s="178"/>
      <c r="X38" s="178"/>
      <c r="Y38" s="184"/>
      <c r="Z38" s="391"/>
      <c r="AA38" s="392"/>
      <c r="AB38" s="392"/>
      <c r="AC38" s="392"/>
      <c r="AD38" s="392"/>
      <c r="AE38" s="189"/>
      <c r="AF38" s="190"/>
      <c r="AG38" s="391">
        <f>-J27</f>
        <v>-11</v>
      </c>
      <c r="AH38" s="392"/>
      <c r="AI38" s="392"/>
      <c r="AJ38" s="392"/>
      <c r="AK38" s="392"/>
      <c r="AL38" s="189"/>
      <c r="AM38" s="190"/>
      <c r="AN38" s="406"/>
      <c r="AO38" s="407"/>
      <c r="AP38" s="407"/>
      <c r="AQ38" s="407"/>
      <c r="AR38" s="407"/>
      <c r="AS38" s="407"/>
      <c r="AT38" s="408"/>
    </row>
    <row r="39" spans="1:46" ht="15.75">
      <c r="A39" s="128"/>
      <c r="B39" s="185" t="s">
        <v>170</v>
      </c>
      <c r="C39" s="178"/>
      <c r="D39" s="178"/>
      <c r="E39" s="178"/>
      <c r="F39" s="178"/>
      <c r="G39" s="178"/>
      <c r="H39" s="178"/>
      <c r="I39" s="178"/>
      <c r="J39" s="178"/>
      <c r="K39" s="178"/>
      <c r="L39" s="178"/>
      <c r="M39" s="178"/>
      <c r="N39" s="178"/>
      <c r="O39" s="178"/>
      <c r="P39" s="178"/>
      <c r="Q39" s="178"/>
      <c r="R39" s="178"/>
      <c r="S39" s="178"/>
      <c r="T39" s="178"/>
      <c r="U39" s="178"/>
      <c r="V39" s="178"/>
      <c r="W39" s="178"/>
      <c r="X39" s="178"/>
      <c r="Y39" s="184"/>
      <c r="Z39" s="393">
        <f>SUM(Z34:AF38)</f>
        <v>141</v>
      </c>
      <c r="AA39" s="394"/>
      <c r="AB39" s="394"/>
      <c r="AC39" s="394"/>
      <c r="AD39" s="394"/>
      <c r="AE39" s="189"/>
      <c r="AF39" s="190"/>
      <c r="AG39" s="393">
        <f>SUM(AG34:AM38)</f>
        <v>-89.2</v>
      </c>
      <c r="AH39" s="394"/>
      <c r="AI39" s="394"/>
      <c r="AJ39" s="394"/>
      <c r="AK39" s="394"/>
      <c r="AL39" s="189"/>
      <c r="AM39" s="190"/>
      <c r="AN39" s="397">
        <f>+Z39+AG39</f>
        <v>51.8</v>
      </c>
      <c r="AO39" s="398"/>
      <c r="AP39" s="398"/>
      <c r="AQ39" s="398"/>
      <c r="AR39" s="398"/>
      <c r="AS39" s="398"/>
      <c r="AT39" s="399"/>
    </row>
    <row r="40" spans="1:40" ht="18">
      <c r="A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9" ht="19.5" customHeight="1">
      <c r="A41" s="332" t="s">
        <v>220</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236">
        <f>AV1+1</f>
        <v>3</v>
      </c>
      <c r="AW41" s="171" t="s">
        <v>187</v>
      </c>
    </row>
    <row r="42" spans="1:58" ht="19.5" customHeight="1">
      <c r="A42" s="332" t="str">
        <f>"CONDIZIONE DI FUNZIONAMENTO "&amp;AV42&amp;AW42&amp;IF(AX42&gt;0," (Lo stesso schema vale anche per la condizione "&amp;AX42&amp;")","")</f>
        <v>CONDIZIONE DI FUNZIONAMENTO 3B</v>
      </c>
      <c r="B42" s="332"/>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244">
        <f>VLOOKUP($AV41,DbCasi,Pot!$B$39)</f>
        <v>3</v>
      </c>
      <c r="AW42" s="242" t="str">
        <f>IF(VLOOKUP($AV41,DbCasi,Pot!$C$39)&lt;&gt;0,VLOOKUP($AV41,DbCasi,Pot!$C$39),"")</f>
        <v>B</v>
      </c>
      <c r="AX42" s="237">
        <f>VLOOKUP($AV41,DbCasi,Pot!$D$39)</f>
        <v>0</v>
      </c>
      <c r="AY42" s="238" t="s">
        <v>226</v>
      </c>
      <c r="AZ42" s="239"/>
      <c r="BA42" s="239"/>
      <c r="BB42" s="239"/>
      <c r="BC42" s="239"/>
      <c r="BD42" s="239"/>
      <c r="BE42" s="239"/>
      <c r="BF42" s="240"/>
    </row>
    <row r="43" spans="1:47" ht="1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row>
    <row r="44" spans="1:51" ht="19.5" customHeight="1">
      <c r="A44" s="334" t="str">
        <f>"Regolazione : "&amp;AY44&amp;IF(AV44=4,"","  -  Carico del motore : "&amp;TEXT(AW44*100,"00,0")&amp;"%")</f>
        <v>Regolazione : Carico Termico Comanda  -  Carico del motore : 95,5%</v>
      </c>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229">
        <f>VLOOKUP($AV41,DbCasi,Pot!$H$9+1)</f>
        <v>2</v>
      </c>
      <c r="AW44" s="230">
        <f>VLOOKUP($AV41,DbCasi,Pot!$I$9+1)</f>
        <v>0.9545454545454546</v>
      </c>
      <c r="AY44" s="127" t="str">
        <f>CHOOSE(AV44,"Carico Elettrico Comanda","Carico Termico Comanda","","Motore a carico massimo","Motore a carico minimo")</f>
        <v>Carico Termico Comanda</v>
      </c>
    </row>
    <row r="45" spans="1:47" ht="19.5" customHeight="1">
      <c r="A45" s="331" t="s">
        <v>265</v>
      </c>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row>
    <row r="46" spans="1:47" ht="19.5" customHeight="1">
      <c r="A46" s="409"/>
      <c r="B46" s="409"/>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row>
    <row r="47" spans="1:47" ht="19.5" customHeight="1" hidden="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row>
    <row r="48" spans="1:47" ht="19.5" customHeight="1" hidden="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row>
    <row r="49" spans="1:47" ht="19.5" customHeight="1" hidden="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row>
    <row r="50" spans="1:47" ht="19.5" customHeight="1" hidden="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row>
    <row r="51" ht="19.5" customHeight="1"/>
    <row r="52" spans="1:47" ht="15.75">
      <c r="A52" s="333"/>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row>
    <row r="53" ht="15.75">
      <c r="A53" s="128"/>
    </row>
    <row r="54" ht="15.75">
      <c r="A54" s="128"/>
    </row>
    <row r="55" ht="12.75" customHeight="1"/>
    <row r="56" spans="15:26" ht="18">
      <c r="O56" s="170" t="s">
        <v>157</v>
      </c>
      <c r="W56" s="169" t="s">
        <v>156</v>
      </c>
      <c r="X56" s="129"/>
      <c r="Y56" s="129"/>
      <c r="Z56" s="129"/>
    </row>
    <row r="57" spans="9:29" ht="15.75">
      <c r="I57" s="337">
        <f>VLOOKUP($AV$41,DbCasi,Pot!$T$9+1)</f>
        <v>0</v>
      </c>
      <c r="J57" s="337"/>
      <c r="K57" s="138" t="s">
        <v>161</v>
      </c>
      <c r="AA57" s="337">
        <f>VLOOKUP($AV$41,DbCasi,Pot!$Q$9+1)</f>
        <v>1050</v>
      </c>
      <c r="AB57" s="337"/>
      <c r="AC57" s="130" t="s">
        <v>161</v>
      </c>
    </row>
    <row r="58" spans="23:35" ht="12.75" customHeight="1">
      <c r="W58" s="128" t="str">
        <f>TEXT(AA57,"#.##0")&amp;" kW x "&amp;Testo!$J$77&amp;" Euro/kWh = "</f>
        <v>1.050 kW x 0,039 Euro/kWh = </v>
      </c>
      <c r="AG58" s="383">
        <f>ROUND(AA57*Testo!$J$77,1)</f>
        <v>41</v>
      </c>
      <c r="AH58" s="383"/>
      <c r="AI58" s="130" t="s">
        <v>165</v>
      </c>
    </row>
    <row r="59" ht="15.75" customHeight="1"/>
    <row r="60" ht="18">
      <c r="AG60" s="134" t="s">
        <v>162</v>
      </c>
    </row>
    <row r="61" spans="37:39" ht="12.75" customHeight="1" thickBot="1">
      <c r="AK61" s="337">
        <f>VLOOKUP($AV$41,DbCasi,Pot!$P$9+1)</f>
        <v>0</v>
      </c>
      <c r="AL61" s="337"/>
      <c r="AM61" s="130" t="s">
        <v>161</v>
      </c>
    </row>
    <row r="62" spans="14:48" ht="15" customHeight="1">
      <c r="N62" s="384" t="s">
        <v>144</v>
      </c>
      <c r="O62" s="384"/>
      <c r="P62" s="384"/>
      <c r="Q62" s="384"/>
      <c r="R62" s="384"/>
      <c r="T62" s="131"/>
      <c r="U62" s="132"/>
      <c r="V62" s="132"/>
      <c r="W62" s="132"/>
      <c r="X62" s="132"/>
      <c r="Y62" s="132"/>
      <c r="Z62" s="132"/>
      <c r="AA62" s="132"/>
      <c r="AB62" s="132"/>
      <c r="AC62" s="132"/>
      <c r="AD62" s="133"/>
      <c r="AE62" s="134"/>
      <c r="AG62" s="128" t="str">
        <f>TEXT(AK61,"#.##0")&amp;" kW x "&amp;TEXT(Testo!$J$75,"0,00")&amp;" Euro/kWh = "</f>
        <v>0 kW x 0,07 Euro/kWh = </v>
      </c>
      <c r="AP62" s="383">
        <f>ROUND(AK61*Testo!$J$75,1)</f>
        <v>0</v>
      </c>
      <c r="AQ62" s="383"/>
      <c r="AR62" s="130" t="s">
        <v>165</v>
      </c>
      <c r="AV62" s="136"/>
    </row>
    <row r="63" spans="1:48" ht="15.75" customHeight="1">
      <c r="A63" s="130" t="str">
        <f>TEXT(AA69,"#.##0")&amp;"kW / "&amp;Testo!$J$10&amp;" kWh/Sm3 = "</f>
        <v>2.386kW / 9,59 kWh/Sm3 = </v>
      </c>
      <c r="B63" s="130"/>
      <c r="C63" s="130"/>
      <c r="D63" s="130"/>
      <c r="E63" s="130"/>
      <c r="F63" s="130"/>
      <c r="G63" s="130"/>
      <c r="H63" s="130"/>
      <c r="I63" s="130"/>
      <c r="J63" s="333">
        <f>AA69/Testo!$J$10</f>
        <v>248.83875248838754</v>
      </c>
      <c r="K63" s="333"/>
      <c r="L63" s="130" t="s">
        <v>164</v>
      </c>
      <c r="N63" s="384"/>
      <c r="O63" s="384"/>
      <c r="P63" s="384"/>
      <c r="Q63" s="384"/>
      <c r="R63" s="384"/>
      <c r="T63" s="135"/>
      <c r="U63" s="335" t="s">
        <v>145</v>
      </c>
      <c r="V63" s="336"/>
      <c r="W63" s="336"/>
      <c r="X63" s="336"/>
      <c r="Y63" s="336"/>
      <c r="Z63" s="336"/>
      <c r="AA63" s="336"/>
      <c r="AB63" s="336"/>
      <c r="AC63" s="336"/>
      <c r="AD63" s="137"/>
      <c r="AV63" s="136"/>
    </row>
    <row r="64" spans="1:48" ht="15.75" customHeight="1">
      <c r="A64" s="130" t="str">
        <f>TEXT(J63,"000")&amp;"Sm3/h x "&amp;Testo!$J$15&amp;" Euro/Sm3 = "</f>
        <v>249Sm3/h x 0,3 Euro/Sm3 = </v>
      </c>
      <c r="B64" s="138"/>
      <c r="C64" s="138"/>
      <c r="D64" s="138"/>
      <c r="E64" s="138"/>
      <c r="F64" s="138"/>
      <c r="G64" s="138"/>
      <c r="H64" s="138"/>
      <c r="I64" s="138"/>
      <c r="J64" s="333">
        <f>ROUND(J63*Testo!$J$15,1)</f>
        <v>74.7</v>
      </c>
      <c r="K64" s="333"/>
      <c r="L64" s="130" t="s">
        <v>165</v>
      </c>
      <c r="T64" s="135"/>
      <c r="U64" s="336"/>
      <c r="V64" s="336"/>
      <c r="W64" s="336"/>
      <c r="X64" s="336"/>
      <c r="Y64" s="336"/>
      <c r="Z64" s="336"/>
      <c r="AA64" s="336"/>
      <c r="AB64" s="336"/>
      <c r="AC64" s="336"/>
      <c r="AD64" s="137"/>
      <c r="AV64" s="136"/>
    </row>
    <row r="65" spans="1:48" ht="12.75" customHeight="1">
      <c r="A65" s="138"/>
      <c r="B65" s="138"/>
      <c r="C65" s="138"/>
      <c r="D65" s="138"/>
      <c r="E65" s="138"/>
      <c r="F65" s="138"/>
      <c r="G65" s="138"/>
      <c r="H65" s="138"/>
      <c r="I65" s="138"/>
      <c r="J65" s="138"/>
      <c r="K65" s="138"/>
      <c r="L65" s="138"/>
      <c r="T65" s="135"/>
      <c r="U65" s="336"/>
      <c r="V65" s="336"/>
      <c r="W65" s="336"/>
      <c r="X65" s="336"/>
      <c r="Y65" s="336"/>
      <c r="Z65" s="336"/>
      <c r="AA65" s="336"/>
      <c r="AB65" s="336"/>
      <c r="AC65" s="336"/>
      <c r="AD65" s="137"/>
      <c r="AV65" s="136"/>
    </row>
    <row r="66" spans="20:48" ht="12.75">
      <c r="T66" s="135"/>
      <c r="U66" s="336"/>
      <c r="V66" s="336"/>
      <c r="W66" s="336"/>
      <c r="X66" s="336"/>
      <c r="Y66" s="336"/>
      <c r="Z66" s="336"/>
      <c r="AA66" s="336"/>
      <c r="AB66" s="336"/>
      <c r="AC66" s="336"/>
      <c r="AD66" s="137"/>
      <c r="AV66" s="136"/>
    </row>
    <row r="67" spans="1:48" ht="15.75" customHeight="1">
      <c r="A67" s="333" t="str">
        <f>TEXT(AA67,"#.##0")&amp;" kW x "&amp;Testo!$J$17&amp;" Euro/kWh = "</f>
        <v>955 kW x 0,011 Euro/kWh = </v>
      </c>
      <c r="B67" s="333"/>
      <c r="C67" s="333"/>
      <c r="D67" s="333"/>
      <c r="E67" s="333"/>
      <c r="F67" s="333"/>
      <c r="G67" s="333"/>
      <c r="H67" s="333"/>
      <c r="I67" s="333"/>
      <c r="J67" s="383">
        <f>ROUND(AA67*Testo!$J$17,1)</f>
        <v>10.5</v>
      </c>
      <c r="K67" s="383"/>
      <c r="L67" s="390" t="s">
        <v>165</v>
      </c>
      <c r="M67" s="390"/>
      <c r="T67" s="177" t="s">
        <v>158</v>
      </c>
      <c r="U67" s="136"/>
      <c r="V67" s="136"/>
      <c r="W67" s="136"/>
      <c r="X67" s="136"/>
      <c r="Y67" s="136"/>
      <c r="Z67" s="136"/>
      <c r="AA67" s="386">
        <f>VLOOKUP($AV$41,DbCasi,Pot!$J$9+1)</f>
        <v>954.5454545454546</v>
      </c>
      <c r="AB67" s="386"/>
      <c r="AC67" s="176" t="s">
        <v>141</v>
      </c>
      <c r="AD67" s="137"/>
      <c r="AG67" s="134" t="s">
        <v>163</v>
      </c>
      <c r="AV67" s="136"/>
    </row>
    <row r="68" spans="1:39" ht="15.75" customHeight="1">
      <c r="A68" s="333"/>
      <c r="B68" s="333"/>
      <c r="C68" s="333"/>
      <c r="D68" s="333"/>
      <c r="E68" s="333"/>
      <c r="F68" s="333"/>
      <c r="G68" s="333"/>
      <c r="H68" s="333"/>
      <c r="I68" s="333"/>
      <c r="J68" s="383"/>
      <c r="K68" s="383"/>
      <c r="L68" s="390"/>
      <c r="M68" s="390"/>
      <c r="N68" s="385" t="s">
        <v>146</v>
      </c>
      <c r="O68" s="385"/>
      <c r="P68" s="385"/>
      <c r="Q68" s="385"/>
      <c r="R68" s="385"/>
      <c r="T68" s="177" t="s">
        <v>159</v>
      </c>
      <c r="U68" s="136"/>
      <c r="V68" s="136"/>
      <c r="W68" s="136"/>
      <c r="X68" s="136"/>
      <c r="Y68" s="136"/>
      <c r="Z68" s="136"/>
      <c r="AA68" s="386">
        <f>VLOOKUP($AV$41,DbCasi,Pot!$K$9+1)</f>
        <v>1050</v>
      </c>
      <c r="AB68" s="386"/>
      <c r="AC68" s="176" t="s">
        <v>141</v>
      </c>
      <c r="AD68" s="137"/>
      <c r="AK68" s="337">
        <f>VLOOKUP($AV$41,DbCasi,Pot!$N$9+1)</f>
        <v>954.5454545454546</v>
      </c>
      <c r="AL68" s="337"/>
      <c r="AM68" s="130" t="s">
        <v>161</v>
      </c>
    </row>
    <row r="69" spans="14:44" ht="15.75" customHeight="1">
      <c r="N69" s="385"/>
      <c r="O69" s="385"/>
      <c r="P69" s="385"/>
      <c r="Q69" s="385"/>
      <c r="R69" s="385"/>
      <c r="T69" s="177" t="s">
        <v>160</v>
      </c>
      <c r="U69" s="136"/>
      <c r="V69" s="136"/>
      <c r="W69" s="136"/>
      <c r="X69" s="136"/>
      <c r="Y69" s="136"/>
      <c r="Z69" s="136"/>
      <c r="AA69" s="386">
        <f>VLOOKUP($AV$41,DbCasi,Pot!$L$9+1)</f>
        <v>2386.3636363636365</v>
      </c>
      <c r="AB69" s="386"/>
      <c r="AC69" s="176" t="s">
        <v>141</v>
      </c>
      <c r="AD69" s="137"/>
      <c r="AG69" s="128" t="str">
        <f>TEXT(AK68,"#.##0")&amp;" kW x "&amp;TEXT(Testo!$J$74,"0,00")&amp;" Euro/kWh = "</f>
        <v>955 kW x 0,10 Euro/kWh = </v>
      </c>
      <c r="AP69" s="383">
        <f>ROUND(AK68*Testo!$J$74,0)</f>
        <v>95</v>
      </c>
      <c r="AQ69" s="383"/>
      <c r="AR69" s="130" t="s">
        <v>165</v>
      </c>
    </row>
    <row r="70" spans="20:31" ht="15.75" customHeight="1" thickBot="1">
      <c r="T70" s="139"/>
      <c r="U70" s="140"/>
      <c r="V70" s="140"/>
      <c r="W70" s="140"/>
      <c r="X70" s="140"/>
      <c r="Y70" s="140"/>
      <c r="Z70" s="140"/>
      <c r="AA70" s="140"/>
      <c r="AB70" s="140"/>
      <c r="AC70" s="140"/>
      <c r="AD70" s="141"/>
      <c r="AE70" s="128"/>
    </row>
    <row r="71" spans="20:31" ht="15.75" customHeight="1">
      <c r="T71" s="136"/>
      <c r="U71" s="136"/>
      <c r="V71" s="136"/>
      <c r="W71" s="136"/>
      <c r="X71" s="136"/>
      <c r="Y71" s="136"/>
      <c r="Z71" s="136"/>
      <c r="AA71" s="136"/>
      <c r="AB71" s="136"/>
      <c r="AC71" s="136"/>
      <c r="AD71" s="136"/>
      <c r="AE71" s="128"/>
    </row>
    <row r="72" spans="20:31" ht="15.75" customHeight="1">
      <c r="T72" s="136"/>
      <c r="U72" s="136"/>
      <c r="V72" s="136"/>
      <c r="W72" s="136"/>
      <c r="X72" s="136"/>
      <c r="Y72" s="136"/>
      <c r="Z72" s="136"/>
      <c r="AA72" s="136"/>
      <c r="AB72" s="136"/>
      <c r="AC72" s="136"/>
      <c r="AD72" s="136"/>
      <c r="AE72" s="128"/>
    </row>
    <row r="73" spans="1:46" ht="18" customHeight="1">
      <c r="A73" s="142"/>
      <c r="B73" s="186" t="s">
        <v>171</v>
      </c>
      <c r="C73" s="187"/>
      <c r="D73" s="187"/>
      <c r="E73" s="187"/>
      <c r="F73" s="187"/>
      <c r="G73" s="187"/>
      <c r="H73" s="187"/>
      <c r="I73" s="187"/>
      <c r="J73" s="187"/>
      <c r="K73" s="187"/>
      <c r="L73" s="187"/>
      <c r="M73" s="187"/>
      <c r="N73" s="187"/>
      <c r="O73" s="187"/>
      <c r="P73" s="187"/>
      <c r="Q73" s="187"/>
      <c r="R73" s="187"/>
      <c r="S73" s="187"/>
      <c r="T73" s="187"/>
      <c r="U73" s="187"/>
      <c r="V73" s="187"/>
      <c r="W73" s="187"/>
      <c r="X73" s="187"/>
      <c r="Y73" s="188"/>
      <c r="Z73" s="387" t="s">
        <v>168</v>
      </c>
      <c r="AA73" s="388"/>
      <c r="AB73" s="388"/>
      <c r="AC73" s="388"/>
      <c r="AD73" s="388"/>
      <c r="AE73" s="388"/>
      <c r="AF73" s="389"/>
      <c r="AG73" s="387" t="s">
        <v>169</v>
      </c>
      <c r="AH73" s="388"/>
      <c r="AI73" s="388"/>
      <c r="AJ73" s="388"/>
      <c r="AK73" s="388"/>
      <c r="AL73" s="388"/>
      <c r="AM73" s="389"/>
      <c r="AN73" s="400" t="s">
        <v>198</v>
      </c>
      <c r="AO73" s="401"/>
      <c r="AP73" s="401"/>
      <c r="AQ73" s="401"/>
      <c r="AR73" s="401"/>
      <c r="AS73" s="401"/>
      <c r="AT73" s="402"/>
    </row>
    <row r="74" spans="1:46" ht="18">
      <c r="A74" s="143"/>
      <c r="B74" s="191" t="str">
        <f>Eco!$B$11</f>
        <v> - ricavi da energia elettrica cogenerata vs. stabilimento</v>
      </c>
      <c r="C74" s="178"/>
      <c r="D74" s="179"/>
      <c r="E74" s="179"/>
      <c r="F74" s="179"/>
      <c r="G74" s="179"/>
      <c r="H74" s="179"/>
      <c r="I74" s="179"/>
      <c r="J74" s="179"/>
      <c r="K74" s="179"/>
      <c r="L74" s="179"/>
      <c r="M74" s="179"/>
      <c r="N74" s="179"/>
      <c r="O74" s="179"/>
      <c r="P74" s="179"/>
      <c r="Q74" s="179"/>
      <c r="R74" s="179"/>
      <c r="S74" s="179"/>
      <c r="T74" s="179"/>
      <c r="U74" s="179"/>
      <c r="V74" s="179"/>
      <c r="W74" s="179"/>
      <c r="X74" s="179"/>
      <c r="Y74" s="180"/>
      <c r="Z74" s="391">
        <f>AP69</f>
        <v>95</v>
      </c>
      <c r="AA74" s="392"/>
      <c r="AB74" s="392"/>
      <c r="AC74" s="392"/>
      <c r="AD74" s="392"/>
      <c r="AE74" s="189"/>
      <c r="AF74" s="190"/>
      <c r="AG74" s="391"/>
      <c r="AH74" s="392"/>
      <c r="AI74" s="392"/>
      <c r="AJ74" s="392"/>
      <c r="AK74" s="392"/>
      <c r="AL74" s="189"/>
      <c r="AM74" s="190"/>
      <c r="AN74" s="403"/>
      <c r="AO74" s="404"/>
      <c r="AP74" s="404"/>
      <c r="AQ74" s="404"/>
      <c r="AR74" s="404"/>
      <c r="AS74" s="404"/>
      <c r="AT74" s="405"/>
    </row>
    <row r="75" spans="1:46" ht="18">
      <c r="A75" s="143"/>
      <c r="B75" s="191" t="str">
        <f>Eco!$B$12</f>
        <v> - ricavi da energia elettrica esportata</v>
      </c>
      <c r="C75" s="179"/>
      <c r="D75" s="179"/>
      <c r="E75" s="179"/>
      <c r="F75" s="179"/>
      <c r="G75" s="179"/>
      <c r="H75" s="179"/>
      <c r="I75" s="179"/>
      <c r="J75" s="179"/>
      <c r="K75" s="179"/>
      <c r="L75" s="179"/>
      <c r="M75" s="179"/>
      <c r="N75" s="179"/>
      <c r="O75" s="179"/>
      <c r="P75" s="179"/>
      <c r="Q75" s="179"/>
      <c r="R75" s="179"/>
      <c r="S75" s="179"/>
      <c r="T75" s="179"/>
      <c r="U75" s="179"/>
      <c r="V75" s="179"/>
      <c r="W75" s="179"/>
      <c r="X75" s="179"/>
      <c r="Y75" s="180"/>
      <c r="Z75" s="391">
        <f>AP62</f>
        <v>0</v>
      </c>
      <c r="AA75" s="392"/>
      <c r="AB75" s="392"/>
      <c r="AC75" s="392"/>
      <c r="AD75" s="392"/>
      <c r="AE75" s="189"/>
      <c r="AF75" s="190"/>
      <c r="AG75" s="391"/>
      <c r="AH75" s="392"/>
      <c r="AI75" s="392"/>
      <c r="AJ75" s="392"/>
      <c r="AK75" s="392"/>
      <c r="AL75" s="189"/>
      <c r="AM75" s="190"/>
      <c r="AN75" s="403"/>
      <c r="AO75" s="404"/>
      <c r="AP75" s="404"/>
      <c r="AQ75" s="404"/>
      <c r="AR75" s="404"/>
      <c r="AS75" s="404"/>
      <c r="AT75" s="405"/>
    </row>
    <row r="76" spans="1:46" ht="18">
      <c r="A76" s="143"/>
      <c r="B76" s="191" t="str">
        <f>Eco!$B$13</f>
        <v> - ricavi da energia termica cogenerata</v>
      </c>
      <c r="C76" s="181"/>
      <c r="D76" s="181"/>
      <c r="E76" s="181"/>
      <c r="F76" s="182"/>
      <c r="G76" s="182"/>
      <c r="H76" s="182"/>
      <c r="I76" s="182"/>
      <c r="J76" s="182"/>
      <c r="K76" s="182"/>
      <c r="L76" s="182"/>
      <c r="M76" s="182"/>
      <c r="N76" s="182"/>
      <c r="O76" s="182"/>
      <c r="P76" s="182"/>
      <c r="Q76" s="182"/>
      <c r="R76" s="182"/>
      <c r="S76" s="182"/>
      <c r="T76" s="182"/>
      <c r="U76" s="182"/>
      <c r="V76" s="182"/>
      <c r="W76" s="182"/>
      <c r="X76" s="182"/>
      <c r="Y76" s="183"/>
      <c r="Z76" s="391">
        <f>AG58</f>
        <v>41</v>
      </c>
      <c r="AA76" s="392"/>
      <c r="AB76" s="392"/>
      <c r="AC76" s="392"/>
      <c r="AD76" s="392"/>
      <c r="AE76" s="189"/>
      <c r="AF76" s="190"/>
      <c r="AG76" s="391"/>
      <c r="AH76" s="392"/>
      <c r="AI76" s="392"/>
      <c r="AJ76" s="392"/>
      <c r="AK76" s="392"/>
      <c r="AL76" s="189"/>
      <c r="AM76" s="190"/>
      <c r="AN76" s="403"/>
      <c r="AO76" s="404"/>
      <c r="AP76" s="404"/>
      <c r="AQ76" s="404"/>
      <c r="AR76" s="404"/>
      <c r="AS76" s="404"/>
      <c r="AT76" s="405"/>
    </row>
    <row r="77" spans="1:46" ht="18">
      <c r="A77" s="143"/>
      <c r="B77" s="191" t="str">
        <f>Eco!$B$15</f>
        <v> - costo gas naturale per cogeneratore</v>
      </c>
      <c r="C77" s="181"/>
      <c r="D77" s="181"/>
      <c r="E77" s="181"/>
      <c r="F77" s="182"/>
      <c r="G77" s="182"/>
      <c r="H77" s="182"/>
      <c r="I77" s="182"/>
      <c r="J77" s="182"/>
      <c r="K77" s="182"/>
      <c r="L77" s="182"/>
      <c r="M77" s="182"/>
      <c r="N77" s="182"/>
      <c r="O77" s="182"/>
      <c r="P77" s="182"/>
      <c r="Q77" s="182"/>
      <c r="R77" s="182"/>
      <c r="S77" s="182"/>
      <c r="T77" s="182"/>
      <c r="U77" s="182"/>
      <c r="V77" s="182"/>
      <c r="W77" s="182"/>
      <c r="X77" s="182"/>
      <c r="Y77" s="183"/>
      <c r="Z77" s="391"/>
      <c r="AA77" s="392"/>
      <c r="AB77" s="392"/>
      <c r="AC77" s="392"/>
      <c r="AD77" s="392"/>
      <c r="AE77" s="189"/>
      <c r="AF77" s="190"/>
      <c r="AG77" s="391">
        <f>-J64</f>
        <v>-74.7</v>
      </c>
      <c r="AH77" s="392"/>
      <c r="AI77" s="392"/>
      <c r="AJ77" s="392"/>
      <c r="AK77" s="392"/>
      <c r="AL77" s="189"/>
      <c r="AM77" s="190"/>
      <c r="AN77" s="403"/>
      <c r="AO77" s="404"/>
      <c r="AP77" s="404"/>
      <c r="AQ77" s="404"/>
      <c r="AR77" s="404"/>
      <c r="AS77" s="404"/>
      <c r="AT77" s="405"/>
    </row>
    <row r="78" spans="1:46" ht="18">
      <c r="A78" s="128"/>
      <c r="B78" s="191" t="str">
        <f>Eco!$B$17</f>
        <v> - costo manutenzione cogeneratore</v>
      </c>
      <c r="C78" s="178"/>
      <c r="D78" s="178"/>
      <c r="E78" s="178"/>
      <c r="F78" s="178"/>
      <c r="G78" s="178"/>
      <c r="H78" s="178"/>
      <c r="I78" s="178"/>
      <c r="J78" s="178"/>
      <c r="K78" s="178"/>
      <c r="L78" s="178"/>
      <c r="M78" s="178"/>
      <c r="N78" s="178"/>
      <c r="O78" s="178"/>
      <c r="P78" s="178"/>
      <c r="Q78" s="178"/>
      <c r="R78" s="178"/>
      <c r="S78" s="178"/>
      <c r="T78" s="178"/>
      <c r="U78" s="178"/>
      <c r="V78" s="178"/>
      <c r="W78" s="178"/>
      <c r="X78" s="178"/>
      <c r="Y78" s="184"/>
      <c r="Z78" s="391"/>
      <c r="AA78" s="392"/>
      <c r="AB78" s="392"/>
      <c r="AC78" s="392"/>
      <c r="AD78" s="392"/>
      <c r="AE78" s="189"/>
      <c r="AF78" s="190"/>
      <c r="AG78" s="391">
        <f>-J67</f>
        <v>-10.5</v>
      </c>
      <c r="AH78" s="392"/>
      <c r="AI78" s="392"/>
      <c r="AJ78" s="392"/>
      <c r="AK78" s="392"/>
      <c r="AL78" s="189"/>
      <c r="AM78" s="190"/>
      <c r="AN78" s="406"/>
      <c r="AO78" s="407"/>
      <c r="AP78" s="407"/>
      <c r="AQ78" s="407"/>
      <c r="AR78" s="407"/>
      <c r="AS78" s="407"/>
      <c r="AT78" s="408"/>
    </row>
    <row r="79" spans="1:46" ht="15.75">
      <c r="A79" s="128"/>
      <c r="B79" s="185" t="s">
        <v>170</v>
      </c>
      <c r="C79" s="178"/>
      <c r="D79" s="178"/>
      <c r="E79" s="178"/>
      <c r="F79" s="178"/>
      <c r="G79" s="178"/>
      <c r="H79" s="178"/>
      <c r="I79" s="178"/>
      <c r="J79" s="178"/>
      <c r="K79" s="178"/>
      <c r="L79" s="178"/>
      <c r="M79" s="178"/>
      <c r="N79" s="178"/>
      <c r="O79" s="178"/>
      <c r="P79" s="178"/>
      <c r="Q79" s="178"/>
      <c r="R79" s="178"/>
      <c r="S79" s="178"/>
      <c r="T79" s="178"/>
      <c r="U79" s="178"/>
      <c r="V79" s="178"/>
      <c r="W79" s="178"/>
      <c r="X79" s="178"/>
      <c r="Y79" s="184"/>
      <c r="Z79" s="393">
        <f>SUM(Z74:AF78)</f>
        <v>136</v>
      </c>
      <c r="AA79" s="394"/>
      <c r="AB79" s="394"/>
      <c r="AC79" s="394"/>
      <c r="AD79" s="394"/>
      <c r="AE79" s="189"/>
      <c r="AF79" s="190"/>
      <c r="AG79" s="393">
        <f>SUM(AG74:AM78)</f>
        <v>-85.2</v>
      </c>
      <c r="AH79" s="394"/>
      <c r="AI79" s="394"/>
      <c r="AJ79" s="394"/>
      <c r="AK79" s="394"/>
      <c r="AL79" s="189"/>
      <c r="AM79" s="190"/>
      <c r="AN79" s="397">
        <f>+Z79+AG79</f>
        <v>50.8</v>
      </c>
      <c r="AO79" s="398"/>
      <c r="AP79" s="398"/>
      <c r="AQ79" s="398"/>
      <c r="AR79" s="398"/>
      <c r="AS79" s="398"/>
      <c r="AT79" s="399"/>
    </row>
    <row r="80" spans="1:40" ht="18">
      <c r="A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sheetData>
  <mergeCells count="80">
    <mergeCell ref="A2:AU2"/>
    <mergeCell ref="A1:AU1"/>
    <mergeCell ref="J23:K23"/>
    <mergeCell ref="AP29:AQ29"/>
    <mergeCell ref="AP22:AQ22"/>
    <mergeCell ref="A12:AU12"/>
    <mergeCell ref="U23:AC26"/>
    <mergeCell ref="AA27:AB27"/>
    <mergeCell ref="AA28:AB28"/>
    <mergeCell ref="A27:I28"/>
    <mergeCell ref="AA17:AB17"/>
    <mergeCell ref="I17:J17"/>
    <mergeCell ref="AK21:AL21"/>
    <mergeCell ref="AK28:AL28"/>
    <mergeCell ref="AG18:AH18"/>
    <mergeCell ref="N22:R23"/>
    <mergeCell ref="N28:R29"/>
    <mergeCell ref="J27:K28"/>
    <mergeCell ref="AA29:AB29"/>
    <mergeCell ref="J24:K24"/>
    <mergeCell ref="AG35:AK35"/>
    <mergeCell ref="AG36:AK36"/>
    <mergeCell ref="AG38:AK38"/>
    <mergeCell ref="AG39:AK39"/>
    <mergeCell ref="AG37:AK37"/>
    <mergeCell ref="AK68:AL68"/>
    <mergeCell ref="AG58:AH58"/>
    <mergeCell ref="AK61:AL61"/>
    <mergeCell ref="AA57:AB57"/>
    <mergeCell ref="Z76:AD76"/>
    <mergeCell ref="Z77:AD77"/>
    <mergeCell ref="AG77:AK77"/>
    <mergeCell ref="AP69:AQ69"/>
    <mergeCell ref="Z73:AF73"/>
    <mergeCell ref="AG73:AM73"/>
    <mergeCell ref="AG76:AK76"/>
    <mergeCell ref="N62:R63"/>
    <mergeCell ref="AP62:AQ62"/>
    <mergeCell ref="A41:AU41"/>
    <mergeCell ref="A42:AU42"/>
    <mergeCell ref="J63:K63"/>
    <mergeCell ref="U63:AC66"/>
    <mergeCell ref="J64:K64"/>
    <mergeCell ref="A4:AU4"/>
    <mergeCell ref="A44:AU44"/>
    <mergeCell ref="A52:AU52"/>
    <mergeCell ref="I57:J57"/>
    <mergeCell ref="AN39:AT39"/>
    <mergeCell ref="Z34:AD34"/>
    <mergeCell ref="Z35:AD35"/>
    <mergeCell ref="Z36:AD36"/>
    <mergeCell ref="Z37:AD37"/>
    <mergeCell ref="Z38:AD38"/>
    <mergeCell ref="A67:I68"/>
    <mergeCell ref="J67:K68"/>
    <mergeCell ref="L67:M68"/>
    <mergeCell ref="AA67:AB67"/>
    <mergeCell ref="N68:R69"/>
    <mergeCell ref="AA68:AB68"/>
    <mergeCell ref="AA69:AB69"/>
    <mergeCell ref="AG78:AK78"/>
    <mergeCell ref="Z79:AD79"/>
    <mergeCell ref="AG79:AK79"/>
    <mergeCell ref="AN79:AT79"/>
    <mergeCell ref="Z78:AD78"/>
    <mergeCell ref="AN73:AT78"/>
    <mergeCell ref="Z74:AD74"/>
    <mergeCell ref="AG74:AK74"/>
    <mergeCell ref="Z75:AD75"/>
    <mergeCell ref="AG75:AK75"/>
    <mergeCell ref="A5:AU5"/>
    <mergeCell ref="A6:AU6"/>
    <mergeCell ref="A45:AU45"/>
    <mergeCell ref="A46:AU46"/>
    <mergeCell ref="AN33:AT38"/>
    <mergeCell ref="L27:M28"/>
    <mergeCell ref="Z33:AF33"/>
    <mergeCell ref="AG33:AM33"/>
    <mergeCell ref="Z39:AD39"/>
    <mergeCell ref="AG34:AK34"/>
  </mergeCells>
  <printOptions horizontalCentered="1"/>
  <pageMargins left="0.5905511811023623" right="0.5905511811023623" top="0.984251968503937" bottom="0.5905511811023623" header="0.5118110236220472" footer="0.31496062992125984"/>
  <pageSetup horizontalDpi="300" verticalDpi="300" orientation="landscape" paperSize="9" scale="80" r:id="rId2"/>
  <headerFooter alignWithMargins="0">
    <oddFooter>&amp;RCogenerazione - Pag. &amp;P</oddFooter>
  </headerFooter>
  <rowBreaks count="1" manualBreakCount="1">
    <brk id="40" max="255" man="1"/>
  </rowBreaks>
  <drawing r:id="rId1"/>
</worksheet>
</file>

<file path=xl/worksheets/sheet8.xml><?xml version="1.0" encoding="utf-8"?>
<worksheet xmlns="http://schemas.openxmlformats.org/spreadsheetml/2006/main" xmlns:r="http://schemas.openxmlformats.org/officeDocument/2006/relationships">
  <dimension ref="A1:BF120"/>
  <sheetViews>
    <sheetView showGridLines="0" zoomScale="75" zoomScaleNormal="75" workbookViewId="0" topLeftCell="A1">
      <selection activeCell="AR53" sqref="AR53"/>
    </sheetView>
  </sheetViews>
  <sheetFormatPr defaultColWidth="9.140625" defaultRowHeight="12.75"/>
  <cols>
    <col min="1" max="1" width="5.421875" style="127" customWidth="1"/>
    <col min="2" max="10" width="3.421875" style="127" customWidth="1"/>
    <col min="11" max="11" width="3.28125" style="127" customWidth="1"/>
    <col min="12" max="12" width="5.7109375" style="127" customWidth="1"/>
    <col min="13" max="47" width="3.421875" style="127" customWidth="1"/>
    <col min="48" max="49" width="7.57421875" style="127" customWidth="1"/>
    <col min="50" max="50" width="6.7109375" style="127" customWidth="1"/>
    <col min="51" max="16384" width="3.421875" style="127" customWidth="1"/>
  </cols>
  <sheetData>
    <row r="1" spans="1:49" ht="19.5" customHeight="1">
      <c r="A1" s="332" t="s">
        <v>220</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243">
        <v>4</v>
      </c>
      <c r="AW1" s="171" t="s">
        <v>187</v>
      </c>
    </row>
    <row r="2" spans="1:58" ht="19.5" customHeight="1">
      <c r="A2" s="332" t="str">
        <f>"CONDIZIONE DI FUNZIONAMENTO "&amp;AV2&amp;AW2&amp;IF(AX2&gt;0," (Lo stesso schema vale anche per la condizione "&amp;AX2&amp;")","")</f>
        <v>CONDIZIONE DI FUNZIONAMENTO 5A (Lo stesso schema vale anche per la condizione 7)</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244">
        <f>VLOOKUP($AV1,DbCasi,Pot!$B$39)</f>
        <v>5</v>
      </c>
      <c r="AW2" s="242" t="str">
        <f>IF(VLOOKUP($AV1,DbCasi,Pot!$C$39)&lt;&gt;0,VLOOKUP($AV1,DbCasi,Pot!$C$39),"")</f>
        <v>A</v>
      </c>
      <c r="AX2" s="237">
        <f>VLOOKUP($AV1,DbCasi,Pot!$D$39)</f>
        <v>7</v>
      </c>
      <c r="AY2" s="238" t="s">
        <v>226</v>
      </c>
      <c r="AZ2" s="239"/>
      <c r="BA2" s="239"/>
      <c r="BB2" s="239"/>
      <c r="BC2" s="239"/>
      <c r="BD2" s="239"/>
      <c r="BE2" s="239"/>
      <c r="BF2" s="240"/>
    </row>
    <row r="3" spans="1:47" ht="19.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row>
    <row r="4" spans="1:51" ht="19.5" customHeight="1">
      <c r="A4" s="334" t="str">
        <f>"Regolazione : "&amp;AY4&amp;IF(AV4=4,"","  -  Carico del motore : "&amp;TEXT(AW4*100,"00,0")&amp;"%")</f>
        <v>Regolazione : Carico Termico Comanda  -  Carico del motore : 96,4%</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229">
        <f>VLOOKUP($AV1,DbCasi,Pot!$H$9+1)</f>
        <v>2</v>
      </c>
      <c r="AW4" s="230">
        <f>VLOOKUP($AV1,DbCasi,Pot!$I$9+1)</f>
        <v>0.9636363636363636</v>
      </c>
      <c r="AY4" s="127" t="str">
        <f>CHOOSE(AV4,"Carico Elettrico Comanda","Carico Termico Comanda","","Motore a carico massimo","Motore a carico minimo")</f>
        <v>Carico Termico Comanda</v>
      </c>
    </row>
    <row r="5" spans="1:47" ht="19.5" customHeight="1">
      <c r="A5" s="331" t="s">
        <v>253</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row>
    <row r="6" spans="1:47" ht="19.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row>
    <row r="7" spans="1:47" ht="19.5" customHeight="1" hidden="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row>
    <row r="8" spans="1:47" ht="19.5" customHeight="1" hidden="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row>
    <row r="9" spans="1:47" ht="19.5" customHeight="1" hidden="1">
      <c r="A9" s="126"/>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row>
    <row r="10" spans="1:47" ht="19.5" customHeight="1" hidden="1">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row>
    <row r="11" ht="19.5" customHeight="1"/>
    <row r="12" spans="1:47" ht="15.75">
      <c r="A12" s="333"/>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row>
    <row r="13" ht="15.75">
      <c r="A13" s="128"/>
    </row>
    <row r="14" ht="15.75">
      <c r="A14" s="128"/>
    </row>
    <row r="15" ht="12.75" customHeight="1"/>
    <row r="16" spans="15:26" ht="18">
      <c r="O16" s="170" t="s">
        <v>157</v>
      </c>
      <c r="W16" s="169" t="s">
        <v>156</v>
      </c>
      <c r="X16" s="129"/>
      <c r="Y16" s="129"/>
      <c r="Z16" s="129"/>
    </row>
    <row r="17" spans="9:29" ht="15.75">
      <c r="I17" s="337">
        <f>VLOOKUP($AV$1,DbCasi,Pot!$T$9+1)</f>
        <v>0</v>
      </c>
      <c r="J17" s="337"/>
      <c r="K17" s="138" t="s">
        <v>161</v>
      </c>
      <c r="AA17" s="337">
        <f>VLOOKUP($AV$1,DbCasi,Pot!$Q$9+1)</f>
        <v>1060</v>
      </c>
      <c r="AB17" s="337"/>
      <c r="AC17" s="130" t="s">
        <v>161</v>
      </c>
    </row>
    <row r="18" spans="23:35" ht="12.75" customHeight="1">
      <c r="W18" s="128" t="str">
        <f>TEXT(AA17,"#.##0")&amp;" kW x "&amp;Testo!$J$77&amp;" Euro/kWh = "</f>
        <v>1.060 kW x 0,039 Euro/kWh = </v>
      </c>
      <c r="AG18" s="383">
        <f>ROUND(AA17*Testo!$J$77,1)</f>
        <v>41.3</v>
      </c>
      <c r="AH18" s="383"/>
      <c r="AI18" s="130" t="s">
        <v>165</v>
      </c>
    </row>
    <row r="19" ht="15.75" customHeight="1"/>
    <row r="20" ht="18">
      <c r="AG20" s="134" t="s">
        <v>162</v>
      </c>
    </row>
    <row r="21" spans="37:39" ht="12.75" customHeight="1" thickBot="1">
      <c r="AK21" s="337">
        <f>VLOOKUP($AV$1,DbCasi,Pot!$P$9+1)</f>
        <v>33.636363636363626</v>
      </c>
      <c r="AL21" s="337"/>
      <c r="AM21" s="130" t="s">
        <v>161</v>
      </c>
    </row>
    <row r="22" spans="14:48" ht="15" customHeight="1">
      <c r="N22" s="384" t="s">
        <v>144</v>
      </c>
      <c r="O22" s="384"/>
      <c r="P22" s="384"/>
      <c r="Q22" s="384"/>
      <c r="R22" s="384"/>
      <c r="T22" s="131"/>
      <c r="U22" s="132"/>
      <c r="V22" s="132"/>
      <c r="W22" s="132"/>
      <c r="X22" s="132"/>
      <c r="Y22" s="132"/>
      <c r="Z22" s="132"/>
      <c r="AA22" s="132"/>
      <c r="AB22" s="132"/>
      <c r="AC22" s="132"/>
      <c r="AD22" s="133"/>
      <c r="AE22" s="134"/>
      <c r="AG22" s="128" t="str">
        <f>TEXT(AK21,"#.##0")&amp;" kW x "&amp;TEXT(Testo!$J$75,"0,00")&amp;" Euro/kWh = "</f>
        <v>34 kW x 0,07 Euro/kWh = </v>
      </c>
      <c r="AP22" s="383">
        <f>ROUND(AK21*Testo!$J$75,1)</f>
        <v>2.4</v>
      </c>
      <c r="AQ22" s="383"/>
      <c r="AR22" s="130" t="s">
        <v>165</v>
      </c>
      <c r="AV22" s="136"/>
    </row>
    <row r="23" spans="1:48" ht="15.75" customHeight="1">
      <c r="A23" s="130" t="str">
        <f>TEXT(AA29,"#.##0")&amp;"kW / "&amp;Testo!$J$10&amp;" kWh/Sm3 = "</f>
        <v>2.409kW / 9,59 kWh/Sm3 = </v>
      </c>
      <c r="B23" s="130"/>
      <c r="C23" s="130"/>
      <c r="D23" s="130"/>
      <c r="E23" s="130"/>
      <c r="F23" s="130"/>
      <c r="G23" s="130"/>
      <c r="H23" s="130"/>
      <c r="I23" s="130"/>
      <c r="J23" s="333">
        <f>AA29/Testo!$J$10</f>
        <v>251.20864536922932</v>
      </c>
      <c r="K23" s="333"/>
      <c r="L23" s="130" t="s">
        <v>164</v>
      </c>
      <c r="N23" s="384"/>
      <c r="O23" s="384"/>
      <c r="P23" s="384"/>
      <c r="Q23" s="384"/>
      <c r="R23" s="384"/>
      <c r="T23" s="135"/>
      <c r="U23" s="335" t="s">
        <v>145</v>
      </c>
      <c r="V23" s="336"/>
      <c r="W23" s="336"/>
      <c r="X23" s="336"/>
      <c r="Y23" s="336"/>
      <c r="Z23" s="336"/>
      <c r="AA23" s="336"/>
      <c r="AB23" s="336"/>
      <c r="AC23" s="336"/>
      <c r="AD23" s="137"/>
      <c r="AV23" s="136"/>
    </row>
    <row r="24" spans="1:48" ht="15.75" customHeight="1">
      <c r="A24" s="130" t="str">
        <f>TEXT(J23,"000")&amp;"Sm3/h x "&amp;Testo!$J$15&amp;" Euro/Sm3 = "</f>
        <v>251Sm3/h x 0,3 Euro/Sm3 = </v>
      </c>
      <c r="B24" s="138"/>
      <c r="C24" s="138"/>
      <c r="D24" s="138"/>
      <c r="E24" s="138"/>
      <c r="F24" s="138"/>
      <c r="G24" s="138"/>
      <c r="H24" s="138"/>
      <c r="I24" s="138"/>
      <c r="J24" s="333">
        <f>ROUND(J23*Testo!$J$15,1)</f>
        <v>75.4</v>
      </c>
      <c r="K24" s="333"/>
      <c r="L24" s="130" t="s">
        <v>165</v>
      </c>
      <c r="T24" s="135"/>
      <c r="U24" s="336"/>
      <c r="V24" s="336"/>
      <c r="W24" s="336"/>
      <c r="X24" s="336"/>
      <c r="Y24" s="336"/>
      <c r="Z24" s="336"/>
      <c r="AA24" s="336"/>
      <c r="AB24" s="336"/>
      <c r="AC24" s="336"/>
      <c r="AD24" s="137"/>
      <c r="AV24" s="136"/>
    </row>
    <row r="25" spans="1:48" ht="12.75" customHeight="1">
      <c r="A25" s="138"/>
      <c r="B25" s="138"/>
      <c r="C25" s="138"/>
      <c r="D25" s="138"/>
      <c r="E25" s="138"/>
      <c r="F25" s="138"/>
      <c r="G25" s="138"/>
      <c r="H25" s="138"/>
      <c r="I25" s="138"/>
      <c r="J25" s="138"/>
      <c r="K25" s="138"/>
      <c r="L25" s="138"/>
      <c r="T25" s="135"/>
      <c r="U25" s="336"/>
      <c r="V25" s="336"/>
      <c r="W25" s="336"/>
      <c r="X25" s="336"/>
      <c r="Y25" s="336"/>
      <c r="Z25" s="336"/>
      <c r="AA25" s="336"/>
      <c r="AB25" s="336"/>
      <c r="AC25" s="336"/>
      <c r="AD25" s="137"/>
      <c r="AV25" s="136"/>
    </row>
    <row r="26" spans="20:48" ht="12.75">
      <c r="T26" s="135"/>
      <c r="U26" s="336"/>
      <c r="V26" s="336"/>
      <c r="W26" s="336"/>
      <c r="X26" s="336"/>
      <c r="Y26" s="336"/>
      <c r="Z26" s="336"/>
      <c r="AA26" s="336"/>
      <c r="AB26" s="336"/>
      <c r="AC26" s="336"/>
      <c r="AD26" s="137"/>
      <c r="AV26" s="136"/>
    </row>
    <row r="27" spans="1:48" ht="15.75" customHeight="1">
      <c r="A27" s="333" t="str">
        <f>TEXT(AA27,"#.##0")&amp;" kW x "&amp;Testo!$J$17&amp;" Euro/kWh = "</f>
        <v>964 kW x 0,011 Euro/kWh = </v>
      </c>
      <c r="B27" s="333"/>
      <c r="C27" s="333"/>
      <c r="D27" s="333"/>
      <c r="E27" s="333"/>
      <c r="F27" s="333"/>
      <c r="G27" s="333"/>
      <c r="H27" s="333"/>
      <c r="I27" s="333"/>
      <c r="J27" s="383">
        <f>ROUND(AA27*Testo!$J$17,1)</f>
        <v>10.6</v>
      </c>
      <c r="K27" s="383"/>
      <c r="L27" s="390" t="s">
        <v>165</v>
      </c>
      <c r="M27" s="390"/>
      <c r="T27" s="177" t="s">
        <v>158</v>
      </c>
      <c r="U27" s="136"/>
      <c r="V27" s="136"/>
      <c r="W27" s="136"/>
      <c r="X27" s="136"/>
      <c r="Y27" s="136"/>
      <c r="Z27" s="136"/>
      <c r="AA27" s="386">
        <f>VLOOKUP($AV$1,DbCasi,Pot!$J$9+1)</f>
        <v>963.6363636363636</v>
      </c>
      <c r="AB27" s="386"/>
      <c r="AC27" s="176" t="s">
        <v>141</v>
      </c>
      <c r="AD27" s="137"/>
      <c r="AG27" s="134" t="s">
        <v>163</v>
      </c>
      <c r="AV27" s="136"/>
    </row>
    <row r="28" spans="1:39" ht="15.75" customHeight="1">
      <c r="A28" s="333"/>
      <c r="B28" s="333"/>
      <c r="C28" s="333"/>
      <c r="D28" s="333"/>
      <c r="E28" s="333"/>
      <c r="F28" s="333"/>
      <c r="G28" s="333"/>
      <c r="H28" s="333"/>
      <c r="I28" s="333"/>
      <c r="J28" s="383"/>
      <c r="K28" s="383"/>
      <c r="L28" s="390"/>
      <c r="M28" s="390"/>
      <c r="N28" s="385" t="s">
        <v>146</v>
      </c>
      <c r="O28" s="385"/>
      <c r="P28" s="385"/>
      <c r="Q28" s="385"/>
      <c r="R28" s="385"/>
      <c r="T28" s="177" t="s">
        <v>159</v>
      </c>
      <c r="U28" s="136"/>
      <c r="V28" s="136"/>
      <c r="W28" s="136"/>
      <c r="X28" s="136"/>
      <c r="Y28" s="136"/>
      <c r="Z28" s="136"/>
      <c r="AA28" s="386">
        <f>VLOOKUP($AV$1,DbCasi,Pot!$K$9+1)</f>
        <v>1060</v>
      </c>
      <c r="AB28" s="386"/>
      <c r="AC28" s="176" t="s">
        <v>141</v>
      </c>
      <c r="AD28" s="137"/>
      <c r="AK28" s="337">
        <f>VLOOKUP($AV$1,DbCasi,Pot!$N$9+1)</f>
        <v>930</v>
      </c>
      <c r="AL28" s="337"/>
      <c r="AM28" s="130" t="s">
        <v>161</v>
      </c>
    </row>
    <row r="29" spans="14:44" ht="15.75" customHeight="1">
      <c r="N29" s="385"/>
      <c r="O29" s="385"/>
      <c r="P29" s="385"/>
      <c r="Q29" s="385"/>
      <c r="R29" s="385"/>
      <c r="T29" s="177" t="s">
        <v>160</v>
      </c>
      <c r="U29" s="136"/>
      <c r="V29" s="136"/>
      <c r="W29" s="136"/>
      <c r="X29" s="136"/>
      <c r="Y29" s="136"/>
      <c r="Z29" s="136"/>
      <c r="AA29" s="386">
        <f>VLOOKUP($AV$1,DbCasi,Pot!$L$9+1)</f>
        <v>2409.090909090909</v>
      </c>
      <c r="AB29" s="386"/>
      <c r="AC29" s="176" t="s">
        <v>141</v>
      </c>
      <c r="AD29" s="137"/>
      <c r="AG29" s="128" t="str">
        <f>TEXT(AK28,"#.##0")&amp;" kW x "&amp;TEXT(Testo!$J$74,"0,00")&amp;" Euro/kWh = "</f>
        <v>930 kW x 0,10 Euro/kWh = </v>
      </c>
      <c r="AP29" s="383">
        <f>ROUND(AK28*Testo!$J$74,0)</f>
        <v>93</v>
      </c>
      <c r="AQ29" s="383"/>
      <c r="AR29" s="130" t="s">
        <v>165</v>
      </c>
    </row>
    <row r="30" spans="20:31" ht="15.75" customHeight="1" thickBot="1">
      <c r="T30" s="139"/>
      <c r="U30" s="140"/>
      <c r="V30" s="140"/>
      <c r="W30" s="140"/>
      <c r="X30" s="140"/>
      <c r="Y30" s="140"/>
      <c r="Z30" s="140"/>
      <c r="AA30" s="140"/>
      <c r="AB30" s="140"/>
      <c r="AC30" s="140"/>
      <c r="AD30" s="141"/>
      <c r="AE30" s="128"/>
    </row>
    <row r="31" spans="20:31" ht="15.75" customHeight="1">
      <c r="T31" s="136"/>
      <c r="U31" s="136"/>
      <c r="V31" s="136"/>
      <c r="W31" s="136"/>
      <c r="X31" s="136"/>
      <c r="Y31" s="136"/>
      <c r="Z31" s="136"/>
      <c r="AA31" s="136"/>
      <c r="AB31" s="136"/>
      <c r="AC31" s="136"/>
      <c r="AD31" s="136"/>
      <c r="AE31" s="128"/>
    </row>
    <row r="32" spans="20:31" ht="15.75" customHeight="1">
      <c r="T32" s="136"/>
      <c r="U32" s="136"/>
      <c r="V32" s="136"/>
      <c r="W32" s="136"/>
      <c r="X32" s="136"/>
      <c r="Y32" s="136"/>
      <c r="Z32" s="136"/>
      <c r="AA32" s="136"/>
      <c r="AB32" s="136"/>
      <c r="AC32" s="136"/>
      <c r="AD32" s="136"/>
      <c r="AE32" s="128"/>
    </row>
    <row r="33" spans="1:46" ht="18" customHeight="1">
      <c r="A33" s="142"/>
      <c r="B33" s="186" t="s">
        <v>171</v>
      </c>
      <c r="C33" s="187"/>
      <c r="D33" s="187"/>
      <c r="E33" s="187"/>
      <c r="F33" s="187"/>
      <c r="G33" s="187"/>
      <c r="H33" s="187"/>
      <c r="I33" s="187"/>
      <c r="J33" s="187"/>
      <c r="K33" s="187"/>
      <c r="L33" s="187"/>
      <c r="M33" s="187"/>
      <c r="N33" s="187"/>
      <c r="O33" s="187"/>
      <c r="P33" s="187"/>
      <c r="Q33" s="187"/>
      <c r="R33" s="187"/>
      <c r="S33" s="187"/>
      <c r="T33" s="187"/>
      <c r="U33" s="187"/>
      <c r="V33" s="187"/>
      <c r="W33" s="187"/>
      <c r="X33" s="187"/>
      <c r="Y33" s="188"/>
      <c r="Z33" s="387" t="s">
        <v>168</v>
      </c>
      <c r="AA33" s="388"/>
      <c r="AB33" s="388"/>
      <c r="AC33" s="388"/>
      <c r="AD33" s="388"/>
      <c r="AE33" s="388"/>
      <c r="AF33" s="389"/>
      <c r="AG33" s="387" t="s">
        <v>169</v>
      </c>
      <c r="AH33" s="388"/>
      <c r="AI33" s="388"/>
      <c r="AJ33" s="388"/>
      <c r="AK33" s="388"/>
      <c r="AL33" s="388"/>
      <c r="AM33" s="389"/>
      <c r="AN33" s="400" t="s">
        <v>198</v>
      </c>
      <c r="AO33" s="401"/>
      <c r="AP33" s="401"/>
      <c r="AQ33" s="401"/>
      <c r="AR33" s="401"/>
      <c r="AS33" s="401"/>
      <c r="AT33" s="402"/>
    </row>
    <row r="34" spans="1:46" ht="18">
      <c r="A34" s="143"/>
      <c r="B34" s="191" t="str">
        <f>Eco!$B$11</f>
        <v> - ricavi da energia elettrica cogenerata vs. stabilimento</v>
      </c>
      <c r="C34" s="178"/>
      <c r="D34" s="179"/>
      <c r="E34" s="179"/>
      <c r="F34" s="179"/>
      <c r="G34" s="179"/>
      <c r="H34" s="179"/>
      <c r="I34" s="179"/>
      <c r="J34" s="179"/>
      <c r="K34" s="179"/>
      <c r="L34" s="179"/>
      <c r="M34" s="179"/>
      <c r="N34" s="179"/>
      <c r="O34" s="179"/>
      <c r="P34" s="179"/>
      <c r="Q34" s="179"/>
      <c r="R34" s="179"/>
      <c r="S34" s="179"/>
      <c r="T34" s="179"/>
      <c r="U34" s="179"/>
      <c r="V34" s="179"/>
      <c r="W34" s="179"/>
      <c r="X34" s="179"/>
      <c r="Y34" s="180"/>
      <c r="Z34" s="391">
        <f>AP29</f>
        <v>93</v>
      </c>
      <c r="AA34" s="392"/>
      <c r="AB34" s="392"/>
      <c r="AC34" s="392"/>
      <c r="AD34" s="392"/>
      <c r="AE34" s="189"/>
      <c r="AF34" s="190"/>
      <c r="AG34" s="391"/>
      <c r="AH34" s="392"/>
      <c r="AI34" s="392"/>
      <c r="AJ34" s="392"/>
      <c r="AK34" s="392"/>
      <c r="AL34" s="189"/>
      <c r="AM34" s="190"/>
      <c r="AN34" s="403"/>
      <c r="AO34" s="404"/>
      <c r="AP34" s="404"/>
      <c r="AQ34" s="404"/>
      <c r="AR34" s="404"/>
      <c r="AS34" s="404"/>
      <c r="AT34" s="405"/>
    </row>
    <row r="35" spans="1:46" ht="18">
      <c r="A35" s="143"/>
      <c r="B35" s="191" t="str">
        <f>Eco!$B$12</f>
        <v> - ricavi da energia elettrica esportata</v>
      </c>
      <c r="C35" s="179"/>
      <c r="D35" s="179"/>
      <c r="E35" s="179"/>
      <c r="F35" s="179"/>
      <c r="G35" s="179"/>
      <c r="H35" s="179"/>
      <c r="I35" s="179"/>
      <c r="J35" s="179"/>
      <c r="K35" s="179"/>
      <c r="L35" s="179"/>
      <c r="M35" s="179"/>
      <c r="N35" s="179"/>
      <c r="O35" s="179"/>
      <c r="P35" s="179"/>
      <c r="Q35" s="179"/>
      <c r="R35" s="179"/>
      <c r="S35" s="179"/>
      <c r="T35" s="179"/>
      <c r="U35" s="179"/>
      <c r="V35" s="179"/>
      <c r="W35" s="179"/>
      <c r="X35" s="179"/>
      <c r="Y35" s="180"/>
      <c r="Z35" s="391">
        <f>AP22</f>
        <v>2.4</v>
      </c>
      <c r="AA35" s="392"/>
      <c r="AB35" s="392"/>
      <c r="AC35" s="392"/>
      <c r="AD35" s="392"/>
      <c r="AE35" s="189"/>
      <c r="AF35" s="190"/>
      <c r="AG35" s="391"/>
      <c r="AH35" s="392"/>
      <c r="AI35" s="392"/>
      <c r="AJ35" s="392"/>
      <c r="AK35" s="392"/>
      <c r="AL35" s="189"/>
      <c r="AM35" s="190"/>
      <c r="AN35" s="403"/>
      <c r="AO35" s="404"/>
      <c r="AP35" s="404"/>
      <c r="AQ35" s="404"/>
      <c r="AR35" s="404"/>
      <c r="AS35" s="404"/>
      <c r="AT35" s="405"/>
    </row>
    <row r="36" spans="1:46" ht="18">
      <c r="A36" s="143"/>
      <c r="B36" s="191" t="str">
        <f>Eco!$B$13</f>
        <v> - ricavi da energia termica cogenerata</v>
      </c>
      <c r="C36" s="181"/>
      <c r="D36" s="181"/>
      <c r="E36" s="181"/>
      <c r="F36" s="182"/>
      <c r="G36" s="182"/>
      <c r="H36" s="182"/>
      <c r="I36" s="182"/>
      <c r="J36" s="182"/>
      <c r="K36" s="182"/>
      <c r="L36" s="182"/>
      <c r="M36" s="182"/>
      <c r="N36" s="182"/>
      <c r="O36" s="182"/>
      <c r="P36" s="182"/>
      <c r="Q36" s="182"/>
      <c r="R36" s="182"/>
      <c r="S36" s="182"/>
      <c r="T36" s="182"/>
      <c r="U36" s="182"/>
      <c r="V36" s="182"/>
      <c r="W36" s="182"/>
      <c r="X36" s="182"/>
      <c r="Y36" s="183"/>
      <c r="Z36" s="391">
        <f>AG18</f>
        <v>41.3</v>
      </c>
      <c r="AA36" s="392"/>
      <c r="AB36" s="392"/>
      <c r="AC36" s="392"/>
      <c r="AD36" s="392"/>
      <c r="AE36" s="189"/>
      <c r="AF36" s="190"/>
      <c r="AG36" s="391"/>
      <c r="AH36" s="392"/>
      <c r="AI36" s="392"/>
      <c r="AJ36" s="392"/>
      <c r="AK36" s="392"/>
      <c r="AL36" s="189"/>
      <c r="AM36" s="190"/>
      <c r="AN36" s="403"/>
      <c r="AO36" s="404"/>
      <c r="AP36" s="404"/>
      <c r="AQ36" s="404"/>
      <c r="AR36" s="404"/>
      <c r="AS36" s="404"/>
      <c r="AT36" s="405"/>
    </row>
    <row r="37" spans="1:46" ht="18">
      <c r="A37" s="143"/>
      <c r="B37" s="191" t="str">
        <f>Eco!$B$15</f>
        <v> - costo gas naturale per cogeneratore</v>
      </c>
      <c r="C37" s="181"/>
      <c r="D37" s="181"/>
      <c r="E37" s="181"/>
      <c r="F37" s="182"/>
      <c r="G37" s="182"/>
      <c r="H37" s="182"/>
      <c r="I37" s="182"/>
      <c r="J37" s="182"/>
      <c r="K37" s="182"/>
      <c r="L37" s="182"/>
      <c r="M37" s="182"/>
      <c r="N37" s="182"/>
      <c r="O37" s="182"/>
      <c r="P37" s="182"/>
      <c r="Q37" s="182"/>
      <c r="R37" s="182"/>
      <c r="S37" s="182"/>
      <c r="T37" s="182"/>
      <c r="U37" s="182"/>
      <c r="V37" s="182"/>
      <c r="W37" s="182"/>
      <c r="X37" s="182"/>
      <c r="Y37" s="183"/>
      <c r="Z37" s="391"/>
      <c r="AA37" s="392"/>
      <c r="AB37" s="392"/>
      <c r="AC37" s="392"/>
      <c r="AD37" s="392"/>
      <c r="AE37" s="189"/>
      <c r="AF37" s="190"/>
      <c r="AG37" s="391">
        <f>-J24</f>
        <v>-75.4</v>
      </c>
      <c r="AH37" s="392"/>
      <c r="AI37" s="392"/>
      <c r="AJ37" s="392"/>
      <c r="AK37" s="392"/>
      <c r="AL37" s="189"/>
      <c r="AM37" s="190"/>
      <c r="AN37" s="403"/>
      <c r="AO37" s="404"/>
      <c r="AP37" s="404"/>
      <c r="AQ37" s="404"/>
      <c r="AR37" s="404"/>
      <c r="AS37" s="404"/>
      <c r="AT37" s="405"/>
    </row>
    <row r="38" spans="1:46" ht="18">
      <c r="A38" s="128"/>
      <c r="B38" s="191" t="str">
        <f>Eco!$B$17</f>
        <v> - costo manutenzione cogeneratore</v>
      </c>
      <c r="C38" s="178"/>
      <c r="D38" s="178"/>
      <c r="E38" s="178"/>
      <c r="F38" s="178"/>
      <c r="G38" s="178"/>
      <c r="H38" s="178"/>
      <c r="I38" s="178"/>
      <c r="J38" s="178"/>
      <c r="K38" s="178"/>
      <c r="L38" s="178"/>
      <c r="M38" s="178"/>
      <c r="N38" s="178"/>
      <c r="O38" s="178"/>
      <c r="P38" s="178"/>
      <c r="Q38" s="178"/>
      <c r="R38" s="178"/>
      <c r="S38" s="178"/>
      <c r="T38" s="178"/>
      <c r="U38" s="178"/>
      <c r="V38" s="178"/>
      <c r="W38" s="178"/>
      <c r="X38" s="178"/>
      <c r="Y38" s="184"/>
      <c r="Z38" s="391"/>
      <c r="AA38" s="392"/>
      <c r="AB38" s="392"/>
      <c r="AC38" s="392"/>
      <c r="AD38" s="392"/>
      <c r="AE38" s="189"/>
      <c r="AF38" s="190"/>
      <c r="AG38" s="391">
        <f>-J27</f>
        <v>-10.6</v>
      </c>
      <c r="AH38" s="392"/>
      <c r="AI38" s="392"/>
      <c r="AJ38" s="392"/>
      <c r="AK38" s="392"/>
      <c r="AL38" s="189"/>
      <c r="AM38" s="190"/>
      <c r="AN38" s="406"/>
      <c r="AO38" s="407"/>
      <c r="AP38" s="407"/>
      <c r="AQ38" s="407"/>
      <c r="AR38" s="407"/>
      <c r="AS38" s="407"/>
      <c r="AT38" s="408"/>
    </row>
    <row r="39" spans="1:46" ht="15.75">
      <c r="A39" s="128"/>
      <c r="B39" s="185" t="s">
        <v>170</v>
      </c>
      <c r="C39" s="178"/>
      <c r="D39" s="178"/>
      <c r="E39" s="178"/>
      <c r="F39" s="178"/>
      <c r="G39" s="178"/>
      <c r="H39" s="178"/>
      <c r="I39" s="178"/>
      <c r="J39" s="178"/>
      <c r="K39" s="178"/>
      <c r="L39" s="178"/>
      <c r="M39" s="178"/>
      <c r="N39" s="178"/>
      <c r="O39" s="178"/>
      <c r="P39" s="178"/>
      <c r="Q39" s="178"/>
      <c r="R39" s="178"/>
      <c r="S39" s="178"/>
      <c r="T39" s="178"/>
      <c r="U39" s="178"/>
      <c r="V39" s="178"/>
      <c r="W39" s="178"/>
      <c r="X39" s="178"/>
      <c r="Y39" s="184"/>
      <c r="Z39" s="393">
        <f>SUM(Z34:AF38)</f>
        <v>136.7</v>
      </c>
      <c r="AA39" s="394"/>
      <c r="AB39" s="394"/>
      <c r="AC39" s="394"/>
      <c r="AD39" s="394"/>
      <c r="AE39" s="189"/>
      <c r="AF39" s="190"/>
      <c r="AG39" s="393">
        <f>SUM(AG34:AM38)</f>
        <v>-86</v>
      </c>
      <c r="AH39" s="394"/>
      <c r="AI39" s="394"/>
      <c r="AJ39" s="394"/>
      <c r="AK39" s="394"/>
      <c r="AL39" s="189"/>
      <c r="AM39" s="190"/>
      <c r="AN39" s="397">
        <f>+Z39+AG39</f>
        <v>50.69999999999999</v>
      </c>
      <c r="AO39" s="398"/>
      <c r="AP39" s="398"/>
      <c r="AQ39" s="398"/>
      <c r="AR39" s="398"/>
      <c r="AS39" s="398"/>
      <c r="AT39" s="399"/>
    </row>
    <row r="40" spans="1:40" ht="18">
      <c r="A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9" ht="19.5" customHeight="1">
      <c r="A41" s="332" t="s">
        <v>220</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236">
        <f>AV1+1</f>
        <v>5</v>
      </c>
      <c r="AW41" s="171" t="s">
        <v>187</v>
      </c>
    </row>
    <row r="42" spans="1:58" ht="19.5" customHeight="1">
      <c r="A42" s="332" t="str">
        <f>"CONDIZIONE DI FUNZIONAMENTO "&amp;AV42&amp;AW42&amp;IF(AX42&gt;0," (Lo stesso schema vale anche per la condizione "&amp;AX42&amp;")","")</f>
        <v>CONDIZIONE DI FUNZIONAMENTO 5B (Lo stesso schema vale anche per la condizione 7)</v>
      </c>
      <c r="B42" s="332"/>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244">
        <f>VLOOKUP($AV41,DbCasi,Pot!$B$39)</f>
        <v>5</v>
      </c>
      <c r="AW42" s="242" t="str">
        <f>IF(VLOOKUP($AV41,DbCasi,Pot!$C$39)&lt;&gt;0,VLOOKUP($AV41,DbCasi,Pot!$C$39),"")</f>
        <v>B</v>
      </c>
      <c r="AX42" s="237">
        <f>VLOOKUP($AV41,DbCasi,Pot!$D$39)</f>
        <v>7</v>
      </c>
      <c r="AY42" s="238" t="s">
        <v>226</v>
      </c>
      <c r="AZ42" s="239"/>
      <c r="BA42" s="239"/>
      <c r="BB42" s="239"/>
      <c r="BC42" s="239"/>
      <c r="BD42" s="239"/>
      <c r="BE42" s="239"/>
      <c r="BF42" s="240"/>
    </row>
    <row r="43" spans="1:47" ht="1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row>
    <row r="44" spans="1:51" ht="19.5" customHeight="1">
      <c r="A44" s="334" t="str">
        <f>"Regolazione : "&amp;AY44&amp;IF(AV44=4,"","  -  Carico del motore : "&amp;TEXT(AW44*100,"00,0")&amp;"%")</f>
        <v>Regolazione : Carico Elettrico Comanda  -  Carico del motore : 93,0%</v>
      </c>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229">
        <f>VLOOKUP($AV41,DbCasi,Pot!$H$9+1)</f>
        <v>1</v>
      </c>
      <c r="AW44" s="230">
        <f>VLOOKUP($AV41,DbCasi,Pot!$I$9+1)</f>
        <v>0.93</v>
      </c>
      <c r="AY44" s="127" t="str">
        <f>CHOOSE(AV44,"Carico Elettrico Comanda","Carico Termico Comanda","","Motore a carico massimo","Motore a carico minimo")</f>
        <v>Carico Elettrico Comanda</v>
      </c>
    </row>
    <row r="45" spans="1:47" ht="19.5" customHeight="1">
      <c r="A45" s="331" t="s">
        <v>254</v>
      </c>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row>
    <row r="46" spans="1:47" ht="1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row>
    <row r="47" spans="1:47" ht="19.5" customHeight="1" hidden="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row>
    <row r="48" spans="1:47" ht="19.5" customHeight="1" hidden="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row>
    <row r="49" spans="1:47" ht="19.5" customHeight="1" hidden="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row>
    <row r="50" spans="1:47" ht="19.5" customHeight="1" hidden="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row>
    <row r="51" ht="19.5" customHeight="1"/>
    <row r="52" spans="1:47" ht="15.75">
      <c r="A52" s="333"/>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row>
    <row r="53" ht="15.75">
      <c r="A53" s="128"/>
    </row>
    <row r="54" ht="15.75">
      <c r="A54" s="128"/>
    </row>
    <row r="55" ht="12.75" customHeight="1"/>
    <row r="56" spans="15:26" ht="18">
      <c r="O56" s="170" t="s">
        <v>157</v>
      </c>
      <c r="W56" s="169" t="s">
        <v>156</v>
      </c>
      <c r="X56" s="129"/>
      <c r="Y56" s="129"/>
      <c r="Z56" s="129"/>
    </row>
    <row r="57" spans="9:29" ht="15.75">
      <c r="I57" s="337">
        <f>VLOOKUP($AV$41,DbCasi,Pot!$T$9+1)</f>
        <v>0</v>
      </c>
      <c r="J57" s="337"/>
      <c r="K57" s="138" t="s">
        <v>161</v>
      </c>
      <c r="AA57" s="337">
        <f>VLOOKUP($AV$41,DbCasi,Pot!$Q$9+1)</f>
        <v>1023</v>
      </c>
      <c r="AB57" s="337"/>
      <c r="AC57" s="130" t="s">
        <v>161</v>
      </c>
    </row>
    <row r="58" spans="23:35" ht="12.75" customHeight="1">
      <c r="W58" s="128" t="str">
        <f>TEXT(AA57,"#.##0")&amp;" kW x "&amp;Testo!$J$77&amp;" Euro/kWh = "</f>
        <v>1.023 kW x 0,039 Euro/kWh = </v>
      </c>
      <c r="AG58" s="383">
        <f>ROUND(AA57*Testo!$J$77,1)</f>
        <v>39.9</v>
      </c>
      <c r="AH58" s="383"/>
      <c r="AI58" s="130" t="s">
        <v>165</v>
      </c>
    </row>
    <row r="59" ht="15.75" customHeight="1"/>
    <row r="60" ht="18">
      <c r="AG60" s="134" t="s">
        <v>162</v>
      </c>
    </row>
    <row r="61" spans="37:39" ht="12.75" customHeight="1" thickBot="1">
      <c r="AK61" s="337">
        <f>VLOOKUP($AV$41,DbCasi,Pot!$P$9+1)</f>
        <v>0</v>
      </c>
      <c r="AL61" s="337"/>
      <c r="AM61" s="130" t="s">
        <v>161</v>
      </c>
    </row>
    <row r="62" spans="14:48" ht="15" customHeight="1">
      <c r="N62" s="384" t="s">
        <v>144</v>
      </c>
      <c r="O62" s="384"/>
      <c r="P62" s="384"/>
      <c r="Q62" s="384"/>
      <c r="R62" s="384"/>
      <c r="T62" s="131"/>
      <c r="U62" s="132"/>
      <c r="V62" s="132"/>
      <c r="W62" s="132"/>
      <c r="X62" s="132"/>
      <c r="Y62" s="132"/>
      <c r="Z62" s="132"/>
      <c r="AA62" s="132"/>
      <c r="AB62" s="132"/>
      <c r="AC62" s="132"/>
      <c r="AD62" s="133"/>
      <c r="AE62" s="134"/>
      <c r="AG62" s="128" t="str">
        <f>TEXT(AK61,"#.##0")&amp;" kW x "&amp;TEXT(Testo!$J$75,"0,00")&amp;" Euro/kWh = "</f>
        <v>0 kW x 0,07 Euro/kWh = </v>
      </c>
      <c r="AP62" s="383">
        <f>ROUND(AK61*Testo!$J$75,1)</f>
        <v>0</v>
      </c>
      <c r="AQ62" s="383"/>
      <c r="AR62" s="130" t="s">
        <v>165</v>
      </c>
      <c r="AV62" s="136"/>
    </row>
    <row r="63" spans="1:48" ht="15.75" customHeight="1">
      <c r="A63" s="130" t="str">
        <f>TEXT(AA69,"#.##0")&amp;"kW / "&amp;Testo!$J$10&amp;" kWh/Sm3 = "</f>
        <v>2.325kW / 9,59 kWh/Sm3 = </v>
      </c>
      <c r="B63" s="130"/>
      <c r="C63" s="130"/>
      <c r="D63" s="130"/>
      <c r="E63" s="130"/>
      <c r="F63" s="130"/>
      <c r="G63" s="130"/>
      <c r="H63" s="130"/>
      <c r="I63" s="130"/>
      <c r="J63" s="333">
        <f>AA69/Testo!$J$10</f>
        <v>242.4400417101147</v>
      </c>
      <c r="K63" s="333"/>
      <c r="L63" s="130" t="s">
        <v>164</v>
      </c>
      <c r="N63" s="384"/>
      <c r="O63" s="384"/>
      <c r="P63" s="384"/>
      <c r="Q63" s="384"/>
      <c r="R63" s="384"/>
      <c r="T63" s="135"/>
      <c r="U63" s="335" t="s">
        <v>145</v>
      </c>
      <c r="V63" s="336"/>
      <c r="W63" s="336"/>
      <c r="X63" s="336"/>
      <c r="Y63" s="336"/>
      <c r="Z63" s="336"/>
      <c r="AA63" s="336"/>
      <c r="AB63" s="336"/>
      <c r="AC63" s="336"/>
      <c r="AD63" s="137"/>
      <c r="AV63" s="136"/>
    </row>
    <row r="64" spans="1:48" ht="15.75" customHeight="1">
      <c r="A64" s="130" t="str">
        <f>TEXT(J63,"000")&amp;"Sm3/h x "&amp;Testo!$J$15&amp;" Euro/Sm3 = "</f>
        <v>242Sm3/h x 0,3 Euro/Sm3 = </v>
      </c>
      <c r="B64" s="138"/>
      <c r="C64" s="138"/>
      <c r="D64" s="138"/>
      <c r="E64" s="138"/>
      <c r="F64" s="138"/>
      <c r="G64" s="138"/>
      <c r="H64" s="138"/>
      <c r="I64" s="138"/>
      <c r="J64" s="333">
        <f>ROUND(J63*Testo!$J$15,1)</f>
        <v>72.7</v>
      </c>
      <c r="K64" s="333"/>
      <c r="L64" s="130" t="s">
        <v>165</v>
      </c>
      <c r="T64" s="135"/>
      <c r="U64" s="336"/>
      <c r="V64" s="336"/>
      <c r="W64" s="336"/>
      <c r="X64" s="336"/>
      <c r="Y64" s="336"/>
      <c r="Z64" s="336"/>
      <c r="AA64" s="336"/>
      <c r="AB64" s="336"/>
      <c r="AC64" s="336"/>
      <c r="AD64" s="137"/>
      <c r="AV64" s="136"/>
    </row>
    <row r="65" spans="1:48" ht="12.75" customHeight="1">
      <c r="A65" s="138"/>
      <c r="B65" s="138"/>
      <c r="C65" s="138"/>
      <c r="D65" s="138"/>
      <c r="E65" s="138"/>
      <c r="F65" s="138"/>
      <c r="G65" s="138"/>
      <c r="H65" s="138"/>
      <c r="I65" s="138"/>
      <c r="J65" s="138"/>
      <c r="K65" s="138"/>
      <c r="L65" s="138"/>
      <c r="T65" s="135"/>
      <c r="U65" s="336"/>
      <c r="V65" s="336"/>
      <c r="W65" s="336"/>
      <c r="X65" s="336"/>
      <c r="Y65" s="336"/>
      <c r="Z65" s="336"/>
      <c r="AA65" s="336"/>
      <c r="AB65" s="336"/>
      <c r="AC65" s="336"/>
      <c r="AD65" s="137"/>
      <c r="AV65" s="136"/>
    </row>
    <row r="66" spans="20:48" ht="12.75">
      <c r="T66" s="135"/>
      <c r="U66" s="336"/>
      <c r="V66" s="336"/>
      <c r="W66" s="336"/>
      <c r="X66" s="336"/>
      <c r="Y66" s="336"/>
      <c r="Z66" s="336"/>
      <c r="AA66" s="336"/>
      <c r="AB66" s="336"/>
      <c r="AC66" s="336"/>
      <c r="AD66" s="137"/>
      <c r="AV66" s="136"/>
    </row>
    <row r="67" spans="1:48" ht="15.75" customHeight="1">
      <c r="A67" s="333" t="str">
        <f>TEXT(AA67,"#.##0")&amp;" kW x "&amp;Testo!$J$17&amp;" Euro/kWh = "</f>
        <v>930 kW x 0,011 Euro/kWh = </v>
      </c>
      <c r="B67" s="333"/>
      <c r="C67" s="333"/>
      <c r="D67" s="333"/>
      <c r="E67" s="333"/>
      <c r="F67" s="333"/>
      <c r="G67" s="333"/>
      <c r="H67" s="333"/>
      <c r="I67" s="333"/>
      <c r="J67" s="383">
        <f>ROUND(AA67*Testo!$J$17,1)</f>
        <v>10.2</v>
      </c>
      <c r="K67" s="383"/>
      <c r="L67" s="390" t="s">
        <v>165</v>
      </c>
      <c r="M67" s="390"/>
      <c r="T67" s="177" t="s">
        <v>158</v>
      </c>
      <c r="U67" s="136"/>
      <c r="V67" s="136"/>
      <c r="W67" s="136"/>
      <c r="X67" s="136"/>
      <c r="Y67" s="136"/>
      <c r="Z67" s="136"/>
      <c r="AA67" s="386">
        <f>VLOOKUP($AV$41,DbCasi,Pot!$J$9+1)</f>
        <v>930</v>
      </c>
      <c r="AB67" s="386"/>
      <c r="AC67" s="176" t="s">
        <v>141</v>
      </c>
      <c r="AD67" s="137"/>
      <c r="AG67" s="134" t="s">
        <v>163</v>
      </c>
      <c r="AV67" s="136"/>
    </row>
    <row r="68" spans="1:39" ht="15.75" customHeight="1">
      <c r="A68" s="333"/>
      <c r="B68" s="333"/>
      <c r="C68" s="333"/>
      <c r="D68" s="333"/>
      <c r="E68" s="333"/>
      <c r="F68" s="333"/>
      <c r="G68" s="333"/>
      <c r="H68" s="333"/>
      <c r="I68" s="333"/>
      <c r="J68" s="383"/>
      <c r="K68" s="383"/>
      <c r="L68" s="390"/>
      <c r="M68" s="390"/>
      <c r="N68" s="385" t="s">
        <v>146</v>
      </c>
      <c r="O68" s="385"/>
      <c r="P68" s="385"/>
      <c r="Q68" s="385"/>
      <c r="R68" s="385"/>
      <c r="T68" s="177" t="s">
        <v>159</v>
      </c>
      <c r="U68" s="136"/>
      <c r="V68" s="136"/>
      <c r="W68" s="136"/>
      <c r="X68" s="136"/>
      <c r="Y68" s="136"/>
      <c r="Z68" s="136"/>
      <c r="AA68" s="386">
        <f>VLOOKUP($AV$41,DbCasi,Pot!$K$9+1)</f>
        <v>1023</v>
      </c>
      <c r="AB68" s="386"/>
      <c r="AC68" s="176" t="s">
        <v>141</v>
      </c>
      <c r="AD68" s="137"/>
      <c r="AK68" s="337">
        <f>VLOOKUP($AV$41,DbCasi,Pot!$N$9+1)</f>
        <v>930</v>
      </c>
      <c r="AL68" s="337"/>
      <c r="AM68" s="130" t="s">
        <v>161</v>
      </c>
    </row>
    <row r="69" spans="14:44" ht="15.75" customHeight="1">
      <c r="N69" s="385"/>
      <c r="O69" s="385"/>
      <c r="P69" s="385"/>
      <c r="Q69" s="385"/>
      <c r="R69" s="385"/>
      <c r="T69" s="177" t="s">
        <v>160</v>
      </c>
      <c r="U69" s="136"/>
      <c r="V69" s="136"/>
      <c r="W69" s="136"/>
      <c r="X69" s="136"/>
      <c r="Y69" s="136"/>
      <c r="Z69" s="136"/>
      <c r="AA69" s="386">
        <f>VLOOKUP($AV$41,DbCasi,Pot!$L$9+1)</f>
        <v>2325</v>
      </c>
      <c r="AB69" s="386"/>
      <c r="AC69" s="176" t="s">
        <v>141</v>
      </c>
      <c r="AD69" s="137"/>
      <c r="AG69" s="128" t="str">
        <f>TEXT(AK68,"#.##0")&amp;" kW x "&amp;TEXT(Testo!$J$74,"0,00")&amp;" Euro/kWh = "</f>
        <v>930 kW x 0,10 Euro/kWh = </v>
      </c>
      <c r="AP69" s="383">
        <f>ROUND(AK68*Testo!$J$74,0)</f>
        <v>93</v>
      </c>
      <c r="AQ69" s="383"/>
      <c r="AR69" s="130" t="s">
        <v>165</v>
      </c>
    </row>
    <row r="70" spans="20:31" ht="15.75" customHeight="1" thickBot="1">
      <c r="T70" s="139"/>
      <c r="U70" s="140"/>
      <c r="V70" s="140"/>
      <c r="W70" s="140"/>
      <c r="X70" s="140"/>
      <c r="Y70" s="140"/>
      <c r="Z70" s="140"/>
      <c r="AA70" s="140"/>
      <c r="AB70" s="140"/>
      <c r="AC70" s="140"/>
      <c r="AD70" s="141"/>
      <c r="AE70" s="128"/>
    </row>
    <row r="71" spans="20:31" ht="15.75" customHeight="1">
      <c r="T71" s="136"/>
      <c r="U71" s="136"/>
      <c r="V71" s="136"/>
      <c r="W71" s="136"/>
      <c r="X71" s="136"/>
      <c r="Y71" s="136"/>
      <c r="Z71" s="136"/>
      <c r="AA71" s="136"/>
      <c r="AB71" s="136"/>
      <c r="AC71" s="136"/>
      <c r="AD71" s="136"/>
      <c r="AE71" s="128"/>
    </row>
    <row r="72" spans="20:31" ht="15.75" customHeight="1">
      <c r="T72" s="136"/>
      <c r="U72" s="136"/>
      <c r="V72" s="136"/>
      <c r="W72" s="136"/>
      <c r="X72" s="136"/>
      <c r="Y72" s="136"/>
      <c r="Z72" s="136"/>
      <c r="AA72" s="136"/>
      <c r="AB72" s="136"/>
      <c r="AC72" s="136"/>
      <c r="AD72" s="136"/>
      <c r="AE72" s="128"/>
    </row>
    <row r="73" spans="1:46" ht="18" customHeight="1">
      <c r="A73" s="142"/>
      <c r="B73" s="186" t="s">
        <v>171</v>
      </c>
      <c r="C73" s="187"/>
      <c r="D73" s="187"/>
      <c r="E73" s="187"/>
      <c r="F73" s="187"/>
      <c r="G73" s="187"/>
      <c r="H73" s="187"/>
      <c r="I73" s="187"/>
      <c r="J73" s="187"/>
      <c r="K73" s="187"/>
      <c r="L73" s="187"/>
      <c r="M73" s="187"/>
      <c r="N73" s="187"/>
      <c r="O73" s="187"/>
      <c r="P73" s="187"/>
      <c r="Q73" s="187"/>
      <c r="R73" s="187"/>
      <c r="S73" s="187"/>
      <c r="T73" s="187"/>
      <c r="U73" s="187"/>
      <c r="V73" s="187"/>
      <c r="W73" s="187"/>
      <c r="X73" s="187"/>
      <c r="Y73" s="188"/>
      <c r="Z73" s="387" t="s">
        <v>168</v>
      </c>
      <c r="AA73" s="388"/>
      <c r="AB73" s="388"/>
      <c r="AC73" s="388"/>
      <c r="AD73" s="388"/>
      <c r="AE73" s="388"/>
      <c r="AF73" s="389"/>
      <c r="AG73" s="387" t="s">
        <v>169</v>
      </c>
      <c r="AH73" s="388"/>
      <c r="AI73" s="388"/>
      <c r="AJ73" s="388"/>
      <c r="AK73" s="388"/>
      <c r="AL73" s="388"/>
      <c r="AM73" s="389"/>
      <c r="AN73" s="400" t="s">
        <v>198</v>
      </c>
      <c r="AO73" s="401"/>
      <c r="AP73" s="401"/>
      <c r="AQ73" s="401"/>
      <c r="AR73" s="401"/>
      <c r="AS73" s="401"/>
      <c r="AT73" s="402"/>
    </row>
    <row r="74" spans="1:46" ht="18">
      <c r="A74" s="143"/>
      <c r="B74" s="191" t="str">
        <f>Eco!$B$11</f>
        <v> - ricavi da energia elettrica cogenerata vs. stabilimento</v>
      </c>
      <c r="C74" s="178"/>
      <c r="D74" s="179"/>
      <c r="E74" s="179"/>
      <c r="F74" s="179"/>
      <c r="G74" s="179"/>
      <c r="H74" s="179"/>
      <c r="I74" s="179"/>
      <c r="J74" s="179"/>
      <c r="K74" s="179"/>
      <c r="L74" s="179"/>
      <c r="M74" s="179"/>
      <c r="N74" s="179"/>
      <c r="O74" s="179"/>
      <c r="P74" s="179"/>
      <c r="Q74" s="179"/>
      <c r="R74" s="179"/>
      <c r="S74" s="179"/>
      <c r="T74" s="179"/>
      <c r="U74" s="179"/>
      <c r="V74" s="179"/>
      <c r="W74" s="179"/>
      <c r="X74" s="179"/>
      <c r="Y74" s="180"/>
      <c r="Z74" s="391">
        <f>AP69</f>
        <v>93</v>
      </c>
      <c r="AA74" s="392"/>
      <c r="AB74" s="392"/>
      <c r="AC74" s="392"/>
      <c r="AD74" s="392"/>
      <c r="AE74" s="189"/>
      <c r="AF74" s="190"/>
      <c r="AG74" s="391"/>
      <c r="AH74" s="392"/>
      <c r="AI74" s="392"/>
      <c r="AJ74" s="392"/>
      <c r="AK74" s="392"/>
      <c r="AL74" s="189"/>
      <c r="AM74" s="190"/>
      <c r="AN74" s="403"/>
      <c r="AO74" s="404"/>
      <c r="AP74" s="404"/>
      <c r="AQ74" s="404"/>
      <c r="AR74" s="404"/>
      <c r="AS74" s="404"/>
      <c r="AT74" s="405"/>
    </row>
    <row r="75" spans="1:46" ht="18">
      <c r="A75" s="143"/>
      <c r="B75" s="191" t="str">
        <f>Eco!$B$12</f>
        <v> - ricavi da energia elettrica esportata</v>
      </c>
      <c r="C75" s="179"/>
      <c r="D75" s="179"/>
      <c r="E75" s="179"/>
      <c r="F75" s="179"/>
      <c r="G75" s="179"/>
      <c r="H75" s="179"/>
      <c r="I75" s="179"/>
      <c r="J75" s="179"/>
      <c r="K75" s="179"/>
      <c r="L75" s="179"/>
      <c r="M75" s="179"/>
      <c r="N75" s="179"/>
      <c r="O75" s="179"/>
      <c r="P75" s="179"/>
      <c r="Q75" s="179"/>
      <c r="R75" s="179"/>
      <c r="S75" s="179"/>
      <c r="T75" s="179"/>
      <c r="U75" s="179"/>
      <c r="V75" s="179"/>
      <c r="W75" s="179"/>
      <c r="X75" s="179"/>
      <c r="Y75" s="180"/>
      <c r="Z75" s="391">
        <f>AP62</f>
        <v>0</v>
      </c>
      <c r="AA75" s="392"/>
      <c r="AB75" s="392"/>
      <c r="AC75" s="392"/>
      <c r="AD75" s="392"/>
      <c r="AE75" s="189"/>
      <c r="AF75" s="190"/>
      <c r="AG75" s="391"/>
      <c r="AH75" s="392"/>
      <c r="AI75" s="392"/>
      <c r="AJ75" s="392"/>
      <c r="AK75" s="392"/>
      <c r="AL75" s="189"/>
      <c r="AM75" s="190"/>
      <c r="AN75" s="403"/>
      <c r="AO75" s="404"/>
      <c r="AP75" s="404"/>
      <c r="AQ75" s="404"/>
      <c r="AR75" s="404"/>
      <c r="AS75" s="404"/>
      <c r="AT75" s="405"/>
    </row>
    <row r="76" spans="1:46" ht="18">
      <c r="A76" s="143"/>
      <c r="B76" s="191" t="str">
        <f>Eco!$B$13</f>
        <v> - ricavi da energia termica cogenerata</v>
      </c>
      <c r="C76" s="181"/>
      <c r="D76" s="181"/>
      <c r="E76" s="181"/>
      <c r="F76" s="182"/>
      <c r="G76" s="182"/>
      <c r="H76" s="182"/>
      <c r="I76" s="182"/>
      <c r="J76" s="182"/>
      <c r="K76" s="182"/>
      <c r="L76" s="182"/>
      <c r="M76" s="182"/>
      <c r="N76" s="182"/>
      <c r="O76" s="182"/>
      <c r="P76" s="182"/>
      <c r="Q76" s="182"/>
      <c r="R76" s="182"/>
      <c r="S76" s="182"/>
      <c r="T76" s="182"/>
      <c r="U76" s="182"/>
      <c r="V76" s="182"/>
      <c r="W76" s="182"/>
      <c r="X76" s="182"/>
      <c r="Y76" s="183"/>
      <c r="Z76" s="391">
        <f>AG58</f>
        <v>39.9</v>
      </c>
      <c r="AA76" s="392"/>
      <c r="AB76" s="392"/>
      <c r="AC76" s="392"/>
      <c r="AD76" s="392"/>
      <c r="AE76" s="189"/>
      <c r="AF76" s="190"/>
      <c r="AG76" s="391"/>
      <c r="AH76" s="392"/>
      <c r="AI76" s="392"/>
      <c r="AJ76" s="392"/>
      <c r="AK76" s="392"/>
      <c r="AL76" s="189"/>
      <c r="AM76" s="190"/>
      <c r="AN76" s="403"/>
      <c r="AO76" s="404"/>
      <c r="AP76" s="404"/>
      <c r="AQ76" s="404"/>
      <c r="AR76" s="404"/>
      <c r="AS76" s="404"/>
      <c r="AT76" s="405"/>
    </row>
    <row r="77" spans="1:46" ht="18">
      <c r="A77" s="143"/>
      <c r="B77" s="191" t="str">
        <f>Eco!$B$15</f>
        <v> - costo gas naturale per cogeneratore</v>
      </c>
      <c r="C77" s="181"/>
      <c r="D77" s="181"/>
      <c r="E77" s="181"/>
      <c r="F77" s="182"/>
      <c r="G77" s="182"/>
      <c r="H77" s="182"/>
      <c r="I77" s="182"/>
      <c r="J77" s="182"/>
      <c r="K77" s="182"/>
      <c r="L77" s="182"/>
      <c r="M77" s="182"/>
      <c r="N77" s="182"/>
      <c r="O77" s="182"/>
      <c r="P77" s="182"/>
      <c r="Q77" s="182"/>
      <c r="R77" s="182"/>
      <c r="S77" s="182"/>
      <c r="T77" s="182"/>
      <c r="U77" s="182"/>
      <c r="V77" s="182"/>
      <c r="W77" s="182"/>
      <c r="X77" s="182"/>
      <c r="Y77" s="183"/>
      <c r="Z77" s="391"/>
      <c r="AA77" s="392"/>
      <c r="AB77" s="392"/>
      <c r="AC77" s="392"/>
      <c r="AD77" s="392"/>
      <c r="AE77" s="189"/>
      <c r="AF77" s="190"/>
      <c r="AG77" s="391">
        <f>-J64</f>
        <v>-72.7</v>
      </c>
      <c r="AH77" s="392"/>
      <c r="AI77" s="392"/>
      <c r="AJ77" s="392"/>
      <c r="AK77" s="392"/>
      <c r="AL77" s="189"/>
      <c r="AM77" s="190"/>
      <c r="AN77" s="403"/>
      <c r="AO77" s="404"/>
      <c r="AP77" s="404"/>
      <c r="AQ77" s="404"/>
      <c r="AR77" s="404"/>
      <c r="AS77" s="404"/>
      <c r="AT77" s="405"/>
    </row>
    <row r="78" spans="1:46" ht="18">
      <c r="A78" s="128"/>
      <c r="B78" s="191" t="str">
        <f>Eco!$B$17</f>
        <v> - costo manutenzione cogeneratore</v>
      </c>
      <c r="C78" s="178"/>
      <c r="D78" s="178"/>
      <c r="E78" s="178"/>
      <c r="F78" s="178"/>
      <c r="G78" s="178"/>
      <c r="H78" s="178"/>
      <c r="I78" s="178"/>
      <c r="J78" s="178"/>
      <c r="K78" s="178"/>
      <c r="L78" s="178"/>
      <c r="M78" s="178"/>
      <c r="N78" s="178"/>
      <c r="O78" s="178"/>
      <c r="P78" s="178"/>
      <c r="Q78" s="178"/>
      <c r="R78" s="178"/>
      <c r="S78" s="178"/>
      <c r="T78" s="178"/>
      <c r="U78" s="178"/>
      <c r="V78" s="178"/>
      <c r="W78" s="178"/>
      <c r="X78" s="178"/>
      <c r="Y78" s="184"/>
      <c r="Z78" s="391"/>
      <c r="AA78" s="392"/>
      <c r="AB78" s="392"/>
      <c r="AC78" s="392"/>
      <c r="AD78" s="392"/>
      <c r="AE78" s="189"/>
      <c r="AF78" s="190"/>
      <c r="AG78" s="391">
        <f>-J67</f>
        <v>-10.2</v>
      </c>
      <c r="AH78" s="392"/>
      <c r="AI78" s="392"/>
      <c r="AJ78" s="392"/>
      <c r="AK78" s="392"/>
      <c r="AL78" s="189"/>
      <c r="AM78" s="190"/>
      <c r="AN78" s="406"/>
      <c r="AO78" s="407"/>
      <c r="AP78" s="407"/>
      <c r="AQ78" s="407"/>
      <c r="AR78" s="407"/>
      <c r="AS78" s="407"/>
      <c r="AT78" s="408"/>
    </row>
    <row r="79" spans="1:46" ht="15.75">
      <c r="A79" s="128"/>
      <c r="B79" s="185" t="s">
        <v>170</v>
      </c>
      <c r="C79" s="178"/>
      <c r="D79" s="178"/>
      <c r="E79" s="178"/>
      <c r="F79" s="178"/>
      <c r="G79" s="178"/>
      <c r="H79" s="178"/>
      <c r="I79" s="178"/>
      <c r="J79" s="178"/>
      <c r="K79" s="178"/>
      <c r="L79" s="178"/>
      <c r="M79" s="178"/>
      <c r="N79" s="178"/>
      <c r="O79" s="178"/>
      <c r="P79" s="178"/>
      <c r="Q79" s="178"/>
      <c r="R79" s="178"/>
      <c r="S79" s="178"/>
      <c r="T79" s="178"/>
      <c r="U79" s="178"/>
      <c r="V79" s="178"/>
      <c r="W79" s="178"/>
      <c r="X79" s="178"/>
      <c r="Y79" s="184"/>
      <c r="Z79" s="393">
        <f>SUM(Z74:AF78)</f>
        <v>132.9</v>
      </c>
      <c r="AA79" s="394"/>
      <c r="AB79" s="394"/>
      <c r="AC79" s="394"/>
      <c r="AD79" s="394"/>
      <c r="AE79" s="189"/>
      <c r="AF79" s="190"/>
      <c r="AG79" s="393">
        <f>SUM(AG74:AM78)</f>
        <v>-82.9</v>
      </c>
      <c r="AH79" s="394"/>
      <c r="AI79" s="394"/>
      <c r="AJ79" s="394"/>
      <c r="AK79" s="394"/>
      <c r="AL79" s="189"/>
      <c r="AM79" s="190"/>
      <c r="AN79" s="397">
        <f>+Z79+AG79</f>
        <v>50</v>
      </c>
      <c r="AO79" s="398"/>
      <c r="AP79" s="398"/>
      <c r="AQ79" s="398"/>
      <c r="AR79" s="398"/>
      <c r="AS79" s="398"/>
      <c r="AT79" s="399"/>
    </row>
    <row r="80" spans="1:40" ht="18">
      <c r="A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9" ht="19.5" customHeight="1">
      <c r="A81" s="332" t="s">
        <v>220</v>
      </c>
      <c r="B81" s="332"/>
      <c r="C81" s="332"/>
      <c r="D81" s="332"/>
      <c r="E81" s="332"/>
      <c r="F81" s="332"/>
      <c r="G81" s="332"/>
      <c r="H81" s="332"/>
      <c r="I81" s="332"/>
      <c r="J81" s="332"/>
      <c r="K81" s="332"/>
      <c r="L81" s="332"/>
      <c r="M81" s="332"/>
      <c r="N81" s="332"/>
      <c r="O81" s="332"/>
      <c r="P81" s="332"/>
      <c r="Q81" s="332"/>
      <c r="R81" s="332"/>
      <c r="S81" s="332"/>
      <c r="T81" s="332"/>
      <c r="U81" s="332"/>
      <c r="V81" s="332"/>
      <c r="W81" s="332"/>
      <c r="X81" s="332"/>
      <c r="Y81" s="332"/>
      <c r="Z81" s="332"/>
      <c r="AA81" s="332"/>
      <c r="AB81" s="332"/>
      <c r="AC81" s="332"/>
      <c r="AD81" s="332"/>
      <c r="AE81" s="332"/>
      <c r="AF81" s="332"/>
      <c r="AG81" s="332"/>
      <c r="AH81" s="332"/>
      <c r="AI81" s="332"/>
      <c r="AJ81" s="332"/>
      <c r="AK81" s="332"/>
      <c r="AL81" s="332"/>
      <c r="AM81" s="332"/>
      <c r="AN81" s="332"/>
      <c r="AO81" s="332"/>
      <c r="AP81" s="332"/>
      <c r="AQ81" s="332"/>
      <c r="AR81" s="332"/>
      <c r="AS81" s="332"/>
      <c r="AT81" s="332"/>
      <c r="AU81" s="332"/>
      <c r="AV81" s="236">
        <f>AV41+1</f>
        <v>6</v>
      </c>
      <c r="AW81" s="171" t="s">
        <v>187</v>
      </c>
    </row>
    <row r="82" spans="1:58" ht="19.5" customHeight="1">
      <c r="A82" s="332" t="str">
        <f>"CONDIZIONE DI FUNZIONAMENTO "&amp;AV82&amp;AW82&amp;IF(AX82&gt;0," (Lo stesso schema vale anche per la condizione "&amp;AX82&amp;")","")</f>
        <v>CONDIZIONE DI FUNZIONAMENTO 5C (Lo stesso schema vale anche per la condizione 7)</v>
      </c>
      <c r="B82" s="332"/>
      <c r="C82" s="332"/>
      <c r="D82" s="332"/>
      <c r="E82" s="332"/>
      <c r="F82" s="332"/>
      <c r="G82" s="332"/>
      <c r="H82" s="332"/>
      <c r="I82" s="332"/>
      <c r="J82" s="332"/>
      <c r="K82" s="332"/>
      <c r="L82" s="332"/>
      <c r="M82" s="332"/>
      <c r="N82" s="332"/>
      <c r="O82" s="332"/>
      <c r="P82" s="332"/>
      <c r="Q82" s="332"/>
      <c r="R82" s="332"/>
      <c r="S82" s="332"/>
      <c r="T82" s="332"/>
      <c r="U82" s="332"/>
      <c r="V82" s="332"/>
      <c r="W82" s="332"/>
      <c r="X82" s="332"/>
      <c r="Y82" s="332"/>
      <c r="Z82" s="332"/>
      <c r="AA82" s="332"/>
      <c r="AB82" s="332"/>
      <c r="AC82" s="332"/>
      <c r="AD82" s="332"/>
      <c r="AE82" s="332"/>
      <c r="AF82" s="332"/>
      <c r="AG82" s="332"/>
      <c r="AH82" s="332"/>
      <c r="AI82" s="332"/>
      <c r="AJ82" s="332"/>
      <c r="AK82" s="332"/>
      <c r="AL82" s="332"/>
      <c r="AM82" s="332"/>
      <c r="AN82" s="332"/>
      <c r="AO82" s="332"/>
      <c r="AP82" s="332"/>
      <c r="AQ82" s="332"/>
      <c r="AR82" s="332"/>
      <c r="AS82" s="332"/>
      <c r="AT82" s="332"/>
      <c r="AU82" s="332"/>
      <c r="AV82" s="244">
        <f>VLOOKUP($AV81,DbCasi,Pot!$B$39)</f>
        <v>5</v>
      </c>
      <c r="AW82" s="242" t="str">
        <f>IF(VLOOKUP($AV81,DbCasi,Pot!$C$39)&lt;&gt;0,VLOOKUP($AV81,DbCasi,Pot!$C$39),"")</f>
        <v>C</v>
      </c>
      <c r="AX82" s="237">
        <f>VLOOKUP($AV81,DbCasi,Pot!$D$39)</f>
        <v>7</v>
      </c>
      <c r="AY82" s="238" t="s">
        <v>226</v>
      </c>
      <c r="AZ82" s="239"/>
      <c r="BA82" s="239"/>
      <c r="BB82" s="239"/>
      <c r="BC82" s="239"/>
      <c r="BD82" s="239"/>
      <c r="BE82" s="239"/>
      <c r="BF82" s="240"/>
    </row>
    <row r="83" spans="1:47" ht="1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row>
    <row r="84" spans="1:51" ht="19.5" customHeight="1">
      <c r="A84" s="334" t="str">
        <f>"Regolazione : "&amp;AY84&amp;IF(AV84=4,"","  -  Carico del motore : "&amp;TEXT(AW84*100,"00,0")&amp;"%")</f>
        <v>Regolazione : Motore a carico massimo</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34"/>
      <c r="AV84" s="229">
        <f>VLOOKUP($AV81,DbCasi,Pot!$H$9+1)</f>
        <v>4</v>
      </c>
      <c r="AW84" s="230">
        <f>VLOOKUP($AV81,DbCasi,Pot!$I$9+1)</f>
        <v>1</v>
      </c>
      <c r="AY84" s="127" t="str">
        <f>CHOOSE(AV84,"Carico Elettrico Comanda","Carico Termico Comanda","","Motore a carico massimo","Motore a carico minimo")</f>
        <v>Motore a carico massimo</v>
      </c>
    </row>
    <row r="85" spans="1:47" ht="19.5" customHeight="1">
      <c r="A85" s="331" t="s">
        <v>255</v>
      </c>
      <c r="B85" s="331"/>
      <c r="C85" s="331"/>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1"/>
      <c r="AJ85" s="331"/>
      <c r="AK85" s="331"/>
      <c r="AL85" s="331"/>
      <c r="AM85" s="331"/>
      <c r="AN85" s="331"/>
      <c r="AO85" s="331"/>
      <c r="AP85" s="331"/>
      <c r="AQ85" s="331"/>
      <c r="AR85" s="331"/>
      <c r="AS85" s="331"/>
      <c r="AT85" s="331"/>
      <c r="AU85" s="331"/>
    </row>
    <row r="86" spans="1:47" ht="19.5" customHeight="1">
      <c r="A86" s="331" t="s">
        <v>256</v>
      </c>
      <c r="B86" s="331"/>
      <c r="C86" s="331"/>
      <c r="D86" s="331"/>
      <c r="E86" s="331"/>
      <c r="F86" s="331"/>
      <c r="G86" s="331"/>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1"/>
      <c r="AF86" s="331"/>
      <c r="AG86" s="331"/>
      <c r="AH86" s="331"/>
      <c r="AI86" s="331"/>
      <c r="AJ86" s="331"/>
      <c r="AK86" s="331"/>
      <c r="AL86" s="331"/>
      <c r="AM86" s="331"/>
      <c r="AN86" s="331"/>
      <c r="AO86" s="331"/>
      <c r="AP86" s="331"/>
      <c r="AQ86" s="331"/>
      <c r="AR86" s="331"/>
      <c r="AS86" s="331"/>
      <c r="AT86" s="331"/>
      <c r="AU86" s="331"/>
    </row>
    <row r="87" spans="1:47" ht="19.5" customHeight="1" hidden="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row>
    <row r="88" spans="1:47" ht="19.5" customHeight="1" hidden="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row>
    <row r="89" spans="1:47" ht="19.5" customHeight="1" hidden="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row>
    <row r="90" spans="1:47" ht="19.5" customHeight="1" hidden="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row>
    <row r="91" ht="19.5" customHeight="1"/>
    <row r="92" spans="1:47" ht="15.75">
      <c r="A92" s="333"/>
      <c r="B92" s="333"/>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3"/>
      <c r="AC92" s="333"/>
      <c r="AD92" s="333"/>
      <c r="AE92" s="333"/>
      <c r="AF92" s="333"/>
      <c r="AG92" s="333"/>
      <c r="AH92" s="333"/>
      <c r="AI92" s="333"/>
      <c r="AJ92" s="333"/>
      <c r="AK92" s="333"/>
      <c r="AL92" s="333"/>
      <c r="AM92" s="333"/>
      <c r="AN92" s="333"/>
      <c r="AO92" s="333"/>
      <c r="AP92" s="333"/>
      <c r="AQ92" s="333"/>
      <c r="AR92" s="333"/>
      <c r="AS92" s="333"/>
      <c r="AT92" s="333"/>
      <c r="AU92" s="333"/>
    </row>
    <row r="93" ht="15.75">
      <c r="A93" s="128"/>
    </row>
    <row r="94" ht="15.75">
      <c r="A94" s="128"/>
    </row>
    <row r="95" ht="12.75" customHeight="1"/>
    <row r="96" spans="15:26" ht="18">
      <c r="O96" s="170" t="s">
        <v>157</v>
      </c>
      <c r="W96" s="169" t="s">
        <v>156</v>
      </c>
      <c r="X96" s="129"/>
      <c r="Y96" s="129"/>
      <c r="Z96" s="129"/>
    </row>
    <row r="97" spans="9:29" ht="15.75">
      <c r="I97" s="337">
        <f>VLOOKUP($AV$81,DbCasi,Pot!$T$9+1)</f>
        <v>40</v>
      </c>
      <c r="J97" s="337"/>
      <c r="K97" s="138" t="s">
        <v>161</v>
      </c>
      <c r="AA97" s="337">
        <f>VLOOKUP($AV$81,DbCasi,Pot!$Q$9+1)</f>
        <v>1060</v>
      </c>
      <c r="AB97" s="337"/>
      <c r="AC97" s="130" t="s">
        <v>161</v>
      </c>
    </row>
    <row r="98" spans="23:35" ht="12.75" customHeight="1">
      <c r="W98" s="128" t="str">
        <f>TEXT(AA97,"#.##0")&amp;" kW x "&amp;Testo!$J$77&amp;" Euro/kWh = "</f>
        <v>1.060 kW x 0,039 Euro/kWh = </v>
      </c>
      <c r="AG98" s="383">
        <f>ROUND(AA97*Testo!$J$77,1)</f>
        <v>41.3</v>
      </c>
      <c r="AH98" s="383"/>
      <c r="AI98" s="130" t="s">
        <v>165</v>
      </c>
    </row>
    <row r="99" ht="15.75" customHeight="1"/>
    <row r="100" ht="18">
      <c r="AG100" s="134" t="s">
        <v>162</v>
      </c>
    </row>
    <row r="101" spans="37:39" ht="12.75" customHeight="1" thickBot="1">
      <c r="AK101" s="337">
        <f>VLOOKUP($AV$81,DbCasi,Pot!$P$9+1)</f>
        <v>70</v>
      </c>
      <c r="AL101" s="337"/>
      <c r="AM101" s="130" t="s">
        <v>161</v>
      </c>
    </row>
    <row r="102" spans="14:48" ht="15" customHeight="1">
      <c r="N102" s="384" t="s">
        <v>144</v>
      </c>
      <c r="O102" s="384"/>
      <c r="P102" s="384"/>
      <c r="Q102" s="384"/>
      <c r="R102" s="384"/>
      <c r="T102" s="131"/>
      <c r="U102" s="132"/>
      <c r="V102" s="132"/>
      <c r="W102" s="132"/>
      <c r="X102" s="132"/>
      <c r="Y102" s="132"/>
      <c r="Z102" s="132"/>
      <c r="AA102" s="132"/>
      <c r="AB102" s="132"/>
      <c r="AC102" s="132"/>
      <c r="AD102" s="133"/>
      <c r="AE102" s="134"/>
      <c r="AG102" s="128" t="str">
        <f>TEXT(AK101,"#.##0")&amp;" kW x "&amp;TEXT(Testo!$J$75,"0,00")&amp;" Euro/kWh = "</f>
        <v>70 kW x 0,07 Euro/kWh = </v>
      </c>
      <c r="AP102" s="383">
        <f>ROUND(AK101*Testo!$J$75,1)</f>
        <v>4.9</v>
      </c>
      <c r="AQ102" s="383"/>
      <c r="AR102" s="130" t="s">
        <v>165</v>
      </c>
      <c r="AV102" s="136"/>
    </row>
    <row r="103" spans="1:48" ht="15.75" customHeight="1">
      <c r="A103" s="130" t="str">
        <f>TEXT(AA109,"#.##0")&amp;"kW / "&amp;Testo!$J$10&amp;" kWh/Sm3 = "</f>
        <v>2.500kW / 9,59 kWh/Sm3 = </v>
      </c>
      <c r="B103" s="130"/>
      <c r="C103" s="130"/>
      <c r="D103" s="130"/>
      <c r="E103" s="130"/>
      <c r="F103" s="130"/>
      <c r="G103" s="130"/>
      <c r="H103" s="130"/>
      <c r="I103" s="130"/>
      <c r="J103" s="333">
        <f>AA109/Testo!$J$10</f>
        <v>260.6882168925965</v>
      </c>
      <c r="K103" s="333"/>
      <c r="L103" s="130" t="s">
        <v>164</v>
      </c>
      <c r="N103" s="384"/>
      <c r="O103" s="384"/>
      <c r="P103" s="384"/>
      <c r="Q103" s="384"/>
      <c r="R103" s="384"/>
      <c r="T103" s="135"/>
      <c r="U103" s="335" t="s">
        <v>145</v>
      </c>
      <c r="V103" s="336"/>
      <c r="W103" s="336"/>
      <c r="X103" s="336"/>
      <c r="Y103" s="336"/>
      <c r="Z103" s="336"/>
      <c r="AA103" s="336"/>
      <c r="AB103" s="336"/>
      <c r="AC103" s="336"/>
      <c r="AD103" s="137"/>
      <c r="AV103" s="136"/>
    </row>
    <row r="104" spans="1:48" ht="15.75" customHeight="1">
      <c r="A104" s="130" t="str">
        <f>TEXT(J103,"000")&amp;"Sm3/h x "&amp;Testo!$J$15&amp;" Euro/Sm3 = "</f>
        <v>261Sm3/h x 0,3 Euro/Sm3 = </v>
      </c>
      <c r="B104" s="138"/>
      <c r="C104" s="138"/>
      <c r="D104" s="138"/>
      <c r="E104" s="138"/>
      <c r="F104" s="138"/>
      <c r="G104" s="138"/>
      <c r="H104" s="138"/>
      <c r="I104" s="138"/>
      <c r="J104" s="333">
        <f>ROUND(J103*Testo!$J$15,1)</f>
        <v>78.2</v>
      </c>
      <c r="K104" s="333"/>
      <c r="L104" s="130" t="s">
        <v>165</v>
      </c>
      <c r="T104" s="135"/>
      <c r="U104" s="336"/>
      <c r="V104" s="336"/>
      <c r="W104" s="336"/>
      <c r="X104" s="336"/>
      <c r="Y104" s="336"/>
      <c r="Z104" s="336"/>
      <c r="AA104" s="336"/>
      <c r="AB104" s="336"/>
      <c r="AC104" s="336"/>
      <c r="AD104" s="137"/>
      <c r="AV104" s="136"/>
    </row>
    <row r="105" spans="1:48" ht="12.75" customHeight="1">
      <c r="A105" s="138"/>
      <c r="B105" s="138"/>
      <c r="C105" s="138"/>
      <c r="D105" s="138"/>
      <c r="E105" s="138"/>
      <c r="F105" s="138"/>
      <c r="G105" s="138"/>
      <c r="H105" s="138"/>
      <c r="I105" s="138"/>
      <c r="J105" s="138"/>
      <c r="K105" s="138"/>
      <c r="L105" s="138"/>
      <c r="T105" s="135"/>
      <c r="U105" s="336"/>
      <c r="V105" s="336"/>
      <c r="W105" s="336"/>
      <c r="X105" s="336"/>
      <c r="Y105" s="336"/>
      <c r="Z105" s="336"/>
      <c r="AA105" s="336"/>
      <c r="AB105" s="336"/>
      <c r="AC105" s="336"/>
      <c r="AD105" s="137"/>
      <c r="AV105" s="136"/>
    </row>
    <row r="106" spans="20:48" ht="12.75">
      <c r="T106" s="135"/>
      <c r="U106" s="336"/>
      <c r="V106" s="336"/>
      <c r="W106" s="336"/>
      <c r="X106" s="336"/>
      <c r="Y106" s="336"/>
      <c r="Z106" s="336"/>
      <c r="AA106" s="336"/>
      <c r="AB106" s="336"/>
      <c r="AC106" s="336"/>
      <c r="AD106" s="137"/>
      <c r="AV106" s="136"/>
    </row>
    <row r="107" spans="1:48" ht="15.75" customHeight="1">
      <c r="A107" s="333" t="str">
        <f>TEXT(AA107,"#.##0")&amp;" kW x "&amp;Testo!$J$17&amp;" Euro/kWh = "</f>
        <v>1.000 kW x 0,011 Euro/kWh = </v>
      </c>
      <c r="B107" s="333"/>
      <c r="C107" s="333"/>
      <c r="D107" s="333"/>
      <c r="E107" s="333"/>
      <c r="F107" s="333"/>
      <c r="G107" s="333"/>
      <c r="H107" s="333"/>
      <c r="I107" s="333"/>
      <c r="J107" s="383">
        <f>ROUND(AA107*Testo!$J$17,1)</f>
        <v>11</v>
      </c>
      <c r="K107" s="383"/>
      <c r="L107" s="390" t="s">
        <v>165</v>
      </c>
      <c r="M107" s="390"/>
      <c r="T107" s="177" t="s">
        <v>158</v>
      </c>
      <c r="U107" s="136"/>
      <c r="V107" s="136"/>
      <c r="W107" s="136"/>
      <c r="X107" s="136"/>
      <c r="Y107" s="136"/>
      <c r="Z107" s="136"/>
      <c r="AA107" s="386">
        <f>VLOOKUP($AV$81,DbCasi,Pot!$J$9+1)</f>
        <v>1000</v>
      </c>
      <c r="AB107" s="386"/>
      <c r="AC107" s="176" t="s">
        <v>141</v>
      </c>
      <c r="AD107" s="137"/>
      <c r="AG107" s="134" t="s">
        <v>163</v>
      </c>
      <c r="AV107" s="136"/>
    </row>
    <row r="108" spans="1:39" ht="15.75" customHeight="1">
      <c r="A108" s="333"/>
      <c r="B108" s="333"/>
      <c r="C108" s="333"/>
      <c r="D108" s="333"/>
      <c r="E108" s="333"/>
      <c r="F108" s="333"/>
      <c r="G108" s="333"/>
      <c r="H108" s="333"/>
      <c r="I108" s="333"/>
      <c r="J108" s="383"/>
      <c r="K108" s="383"/>
      <c r="L108" s="390"/>
      <c r="M108" s="390"/>
      <c r="N108" s="385" t="s">
        <v>146</v>
      </c>
      <c r="O108" s="385"/>
      <c r="P108" s="385"/>
      <c r="Q108" s="385"/>
      <c r="R108" s="385"/>
      <c r="T108" s="177" t="s">
        <v>159</v>
      </c>
      <c r="U108" s="136"/>
      <c r="V108" s="136"/>
      <c r="W108" s="136"/>
      <c r="X108" s="136"/>
      <c r="Y108" s="136"/>
      <c r="Z108" s="136"/>
      <c r="AA108" s="386">
        <f>VLOOKUP($AV$81,DbCasi,Pot!$K$9+1)</f>
        <v>1100</v>
      </c>
      <c r="AB108" s="386"/>
      <c r="AC108" s="176" t="s">
        <v>141</v>
      </c>
      <c r="AD108" s="137"/>
      <c r="AK108" s="337">
        <f>VLOOKUP($AV$81,DbCasi,Pot!$N$9+1)</f>
        <v>930</v>
      </c>
      <c r="AL108" s="337"/>
      <c r="AM108" s="130" t="s">
        <v>161</v>
      </c>
    </row>
    <row r="109" spans="14:44" ht="15.75" customHeight="1">
      <c r="N109" s="385"/>
      <c r="O109" s="385"/>
      <c r="P109" s="385"/>
      <c r="Q109" s="385"/>
      <c r="R109" s="385"/>
      <c r="T109" s="177" t="s">
        <v>160</v>
      </c>
      <c r="U109" s="136"/>
      <c r="V109" s="136"/>
      <c r="W109" s="136"/>
      <c r="X109" s="136"/>
      <c r="Y109" s="136"/>
      <c r="Z109" s="136"/>
      <c r="AA109" s="386">
        <f>VLOOKUP($AV$81,DbCasi,Pot!$L$9+1)</f>
        <v>2500</v>
      </c>
      <c r="AB109" s="386"/>
      <c r="AC109" s="176" t="s">
        <v>141</v>
      </c>
      <c r="AD109" s="137"/>
      <c r="AG109" s="128" t="str">
        <f>TEXT(AK108,"#.##0")&amp;" kW x "&amp;TEXT(Testo!$J$74,"0,00")&amp;" Euro/kWh = "</f>
        <v>930 kW x 0,10 Euro/kWh = </v>
      </c>
      <c r="AP109" s="383">
        <f>ROUND(AK108*Testo!$J$74,0)</f>
        <v>93</v>
      </c>
      <c r="AQ109" s="383"/>
      <c r="AR109" s="130" t="s">
        <v>165</v>
      </c>
    </row>
    <row r="110" spans="20:31" ht="15.75" customHeight="1" thickBot="1">
      <c r="T110" s="139"/>
      <c r="U110" s="140"/>
      <c r="V110" s="140"/>
      <c r="W110" s="140"/>
      <c r="X110" s="140"/>
      <c r="Y110" s="140"/>
      <c r="Z110" s="140"/>
      <c r="AA110" s="140"/>
      <c r="AB110" s="140"/>
      <c r="AC110" s="140"/>
      <c r="AD110" s="141"/>
      <c r="AE110" s="128"/>
    </row>
    <row r="111" spans="20:31" ht="15.75" customHeight="1">
      <c r="T111" s="136"/>
      <c r="U111" s="136"/>
      <c r="V111" s="136"/>
      <c r="W111" s="136"/>
      <c r="X111" s="136"/>
      <c r="Y111" s="136"/>
      <c r="Z111" s="136"/>
      <c r="AA111" s="136"/>
      <c r="AB111" s="136"/>
      <c r="AC111" s="136"/>
      <c r="AD111" s="136"/>
      <c r="AE111" s="128"/>
    </row>
    <row r="112" spans="20:31" ht="15.75" customHeight="1">
      <c r="T112" s="136"/>
      <c r="U112" s="136"/>
      <c r="V112" s="136"/>
      <c r="W112" s="136"/>
      <c r="X112" s="136"/>
      <c r="Y112" s="136"/>
      <c r="Z112" s="136"/>
      <c r="AA112" s="136"/>
      <c r="AB112" s="136"/>
      <c r="AC112" s="136"/>
      <c r="AD112" s="136"/>
      <c r="AE112" s="128"/>
    </row>
    <row r="113" spans="1:46" ht="18" customHeight="1">
      <c r="A113" s="142"/>
      <c r="B113" s="186" t="s">
        <v>171</v>
      </c>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8"/>
      <c r="Z113" s="387" t="s">
        <v>168</v>
      </c>
      <c r="AA113" s="388"/>
      <c r="AB113" s="388"/>
      <c r="AC113" s="388"/>
      <c r="AD113" s="388"/>
      <c r="AE113" s="388"/>
      <c r="AF113" s="389"/>
      <c r="AG113" s="387" t="s">
        <v>169</v>
      </c>
      <c r="AH113" s="388"/>
      <c r="AI113" s="388"/>
      <c r="AJ113" s="388"/>
      <c r="AK113" s="388"/>
      <c r="AL113" s="388"/>
      <c r="AM113" s="389"/>
      <c r="AN113" s="400" t="s">
        <v>198</v>
      </c>
      <c r="AO113" s="401"/>
      <c r="AP113" s="401"/>
      <c r="AQ113" s="401"/>
      <c r="AR113" s="401"/>
      <c r="AS113" s="401"/>
      <c r="AT113" s="402"/>
    </row>
    <row r="114" spans="1:46" ht="18">
      <c r="A114" s="143"/>
      <c r="B114" s="191" t="str">
        <f>Eco!$B$11</f>
        <v> - ricavi da energia elettrica cogenerata vs. stabilimento</v>
      </c>
      <c r="C114" s="178"/>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80"/>
      <c r="Z114" s="391">
        <f>AP109</f>
        <v>93</v>
      </c>
      <c r="AA114" s="392"/>
      <c r="AB114" s="392"/>
      <c r="AC114" s="392"/>
      <c r="AD114" s="392"/>
      <c r="AE114" s="189"/>
      <c r="AF114" s="190"/>
      <c r="AG114" s="391"/>
      <c r="AH114" s="392"/>
      <c r="AI114" s="392"/>
      <c r="AJ114" s="392"/>
      <c r="AK114" s="392"/>
      <c r="AL114" s="189"/>
      <c r="AM114" s="190"/>
      <c r="AN114" s="403"/>
      <c r="AO114" s="404"/>
      <c r="AP114" s="404"/>
      <c r="AQ114" s="404"/>
      <c r="AR114" s="404"/>
      <c r="AS114" s="404"/>
      <c r="AT114" s="405"/>
    </row>
    <row r="115" spans="1:46" ht="18">
      <c r="A115" s="143"/>
      <c r="B115" s="191" t="str">
        <f>Eco!$B$12</f>
        <v> - ricavi da energia elettrica esportata</v>
      </c>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80"/>
      <c r="Z115" s="391">
        <f>AP102</f>
        <v>4.9</v>
      </c>
      <c r="AA115" s="392"/>
      <c r="AB115" s="392"/>
      <c r="AC115" s="392"/>
      <c r="AD115" s="392"/>
      <c r="AE115" s="189"/>
      <c r="AF115" s="190"/>
      <c r="AG115" s="391"/>
      <c r="AH115" s="392"/>
      <c r="AI115" s="392"/>
      <c r="AJ115" s="392"/>
      <c r="AK115" s="392"/>
      <c r="AL115" s="189"/>
      <c r="AM115" s="190"/>
      <c r="AN115" s="403"/>
      <c r="AO115" s="404"/>
      <c r="AP115" s="404"/>
      <c r="AQ115" s="404"/>
      <c r="AR115" s="404"/>
      <c r="AS115" s="404"/>
      <c r="AT115" s="405"/>
    </row>
    <row r="116" spans="1:46" ht="18">
      <c r="A116" s="143"/>
      <c r="B116" s="191" t="str">
        <f>Eco!$B$13</f>
        <v> - ricavi da energia termica cogenerata</v>
      </c>
      <c r="C116" s="181"/>
      <c r="D116" s="181"/>
      <c r="E116" s="181"/>
      <c r="F116" s="182"/>
      <c r="G116" s="182"/>
      <c r="H116" s="182"/>
      <c r="I116" s="182"/>
      <c r="J116" s="182"/>
      <c r="K116" s="182"/>
      <c r="L116" s="182"/>
      <c r="M116" s="182"/>
      <c r="N116" s="182"/>
      <c r="O116" s="182"/>
      <c r="P116" s="182"/>
      <c r="Q116" s="182"/>
      <c r="R116" s="182"/>
      <c r="S116" s="182"/>
      <c r="T116" s="182"/>
      <c r="U116" s="182"/>
      <c r="V116" s="182"/>
      <c r="W116" s="182"/>
      <c r="X116" s="182"/>
      <c r="Y116" s="183"/>
      <c r="Z116" s="391">
        <f>AG98</f>
        <v>41.3</v>
      </c>
      <c r="AA116" s="392"/>
      <c r="AB116" s="392"/>
      <c r="AC116" s="392"/>
      <c r="AD116" s="392"/>
      <c r="AE116" s="189"/>
      <c r="AF116" s="190"/>
      <c r="AG116" s="391"/>
      <c r="AH116" s="392"/>
      <c r="AI116" s="392"/>
      <c r="AJ116" s="392"/>
      <c r="AK116" s="392"/>
      <c r="AL116" s="189"/>
      <c r="AM116" s="190"/>
      <c r="AN116" s="403"/>
      <c r="AO116" s="404"/>
      <c r="AP116" s="404"/>
      <c r="AQ116" s="404"/>
      <c r="AR116" s="404"/>
      <c r="AS116" s="404"/>
      <c r="AT116" s="405"/>
    </row>
    <row r="117" spans="1:46" ht="18">
      <c r="A117" s="143"/>
      <c r="B117" s="191" t="str">
        <f>Eco!$B$15</f>
        <v> - costo gas naturale per cogeneratore</v>
      </c>
      <c r="C117" s="181"/>
      <c r="D117" s="181"/>
      <c r="E117" s="181"/>
      <c r="F117" s="182"/>
      <c r="G117" s="182"/>
      <c r="H117" s="182"/>
      <c r="I117" s="182"/>
      <c r="J117" s="182"/>
      <c r="K117" s="182"/>
      <c r="L117" s="182"/>
      <c r="M117" s="182"/>
      <c r="N117" s="182"/>
      <c r="O117" s="182"/>
      <c r="P117" s="182"/>
      <c r="Q117" s="182"/>
      <c r="R117" s="182"/>
      <c r="S117" s="182"/>
      <c r="T117" s="182"/>
      <c r="U117" s="182"/>
      <c r="V117" s="182"/>
      <c r="W117" s="182"/>
      <c r="X117" s="182"/>
      <c r="Y117" s="183"/>
      <c r="Z117" s="391"/>
      <c r="AA117" s="392"/>
      <c r="AB117" s="392"/>
      <c r="AC117" s="392"/>
      <c r="AD117" s="392"/>
      <c r="AE117" s="189"/>
      <c r="AF117" s="190"/>
      <c r="AG117" s="391">
        <f>-J104</f>
        <v>-78.2</v>
      </c>
      <c r="AH117" s="392"/>
      <c r="AI117" s="392"/>
      <c r="AJ117" s="392"/>
      <c r="AK117" s="392"/>
      <c r="AL117" s="189"/>
      <c r="AM117" s="190"/>
      <c r="AN117" s="403"/>
      <c r="AO117" s="404"/>
      <c r="AP117" s="404"/>
      <c r="AQ117" s="404"/>
      <c r="AR117" s="404"/>
      <c r="AS117" s="404"/>
      <c r="AT117" s="405"/>
    </row>
    <row r="118" spans="1:46" ht="18">
      <c r="A118" s="128"/>
      <c r="B118" s="191" t="str">
        <f>Eco!$B$17</f>
        <v> - costo manutenzione cogeneratore</v>
      </c>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84"/>
      <c r="Z118" s="391"/>
      <c r="AA118" s="392"/>
      <c r="AB118" s="392"/>
      <c r="AC118" s="392"/>
      <c r="AD118" s="392"/>
      <c r="AE118" s="189"/>
      <c r="AF118" s="190"/>
      <c r="AG118" s="391">
        <f>-J107</f>
        <v>-11</v>
      </c>
      <c r="AH118" s="392"/>
      <c r="AI118" s="392"/>
      <c r="AJ118" s="392"/>
      <c r="AK118" s="392"/>
      <c r="AL118" s="189"/>
      <c r="AM118" s="190"/>
      <c r="AN118" s="406"/>
      <c r="AO118" s="407"/>
      <c r="AP118" s="407"/>
      <c r="AQ118" s="407"/>
      <c r="AR118" s="407"/>
      <c r="AS118" s="407"/>
      <c r="AT118" s="408"/>
    </row>
    <row r="119" spans="1:46" ht="15.75">
      <c r="A119" s="128"/>
      <c r="B119" s="185" t="s">
        <v>170</v>
      </c>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84"/>
      <c r="Z119" s="393">
        <f>SUM(Z114:AF118)</f>
        <v>139.2</v>
      </c>
      <c r="AA119" s="394"/>
      <c r="AB119" s="394"/>
      <c r="AC119" s="394"/>
      <c r="AD119" s="394"/>
      <c r="AE119" s="189"/>
      <c r="AF119" s="190"/>
      <c r="AG119" s="393">
        <f>SUM(AG114:AM118)</f>
        <v>-89.2</v>
      </c>
      <c r="AH119" s="394"/>
      <c r="AI119" s="394"/>
      <c r="AJ119" s="394"/>
      <c r="AK119" s="394"/>
      <c r="AL119" s="189"/>
      <c r="AM119" s="190"/>
      <c r="AN119" s="397">
        <f>+Z119+AG119</f>
        <v>49.999999999999986</v>
      </c>
      <c r="AO119" s="398"/>
      <c r="AP119" s="398"/>
      <c r="AQ119" s="398"/>
      <c r="AR119" s="398"/>
      <c r="AS119" s="398"/>
      <c r="AT119" s="399"/>
    </row>
    <row r="120" spans="1:40" ht="18">
      <c r="A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sheetData>
  <mergeCells count="118">
    <mergeCell ref="AN119:AT119"/>
    <mergeCell ref="AG117:AK117"/>
    <mergeCell ref="Z118:AD118"/>
    <mergeCell ref="AG118:AK118"/>
    <mergeCell ref="Z119:AD119"/>
    <mergeCell ref="AG119:AK119"/>
    <mergeCell ref="AN113:AT118"/>
    <mergeCell ref="Z114:AD114"/>
    <mergeCell ref="AG114:AK114"/>
    <mergeCell ref="Z115:AD115"/>
    <mergeCell ref="AG98:AH98"/>
    <mergeCell ref="AK101:AL101"/>
    <mergeCell ref="A107:I108"/>
    <mergeCell ref="J107:K108"/>
    <mergeCell ref="L107:M108"/>
    <mergeCell ref="N108:R109"/>
    <mergeCell ref="AA108:AB108"/>
    <mergeCell ref="AK108:AL108"/>
    <mergeCell ref="AA109:AB109"/>
    <mergeCell ref="J103:K103"/>
    <mergeCell ref="A81:AU81"/>
    <mergeCell ref="A82:AU82"/>
    <mergeCell ref="A84:AU84"/>
    <mergeCell ref="I97:J97"/>
    <mergeCell ref="AA97:AB97"/>
    <mergeCell ref="AG78:AK78"/>
    <mergeCell ref="Z79:AD79"/>
    <mergeCell ref="AG79:AK79"/>
    <mergeCell ref="AN79:AT79"/>
    <mergeCell ref="Z78:AD78"/>
    <mergeCell ref="J67:K68"/>
    <mergeCell ref="L67:M68"/>
    <mergeCell ref="AA67:AB67"/>
    <mergeCell ref="N68:R69"/>
    <mergeCell ref="AA68:AB68"/>
    <mergeCell ref="AA69:AB69"/>
    <mergeCell ref="A4:AU4"/>
    <mergeCell ref="A44:AU44"/>
    <mergeCell ref="A52:AU52"/>
    <mergeCell ref="I57:J57"/>
    <mergeCell ref="AN39:AT39"/>
    <mergeCell ref="Z34:AD34"/>
    <mergeCell ref="Z35:AD35"/>
    <mergeCell ref="Z36:AD36"/>
    <mergeCell ref="Z37:AD37"/>
    <mergeCell ref="Z38:AD38"/>
    <mergeCell ref="AG116:AK116"/>
    <mergeCell ref="A41:AU41"/>
    <mergeCell ref="A42:AU42"/>
    <mergeCell ref="AN33:AT38"/>
    <mergeCell ref="N62:R63"/>
    <mergeCell ref="AP62:AQ62"/>
    <mergeCell ref="J63:K63"/>
    <mergeCell ref="U63:AC66"/>
    <mergeCell ref="J64:K64"/>
    <mergeCell ref="A67:I68"/>
    <mergeCell ref="Z117:AD117"/>
    <mergeCell ref="AP109:AQ109"/>
    <mergeCell ref="AA107:AB107"/>
    <mergeCell ref="N102:R103"/>
    <mergeCell ref="AP102:AQ102"/>
    <mergeCell ref="U103:AC106"/>
    <mergeCell ref="AG115:AK115"/>
    <mergeCell ref="Z113:AF113"/>
    <mergeCell ref="AG113:AM113"/>
    <mergeCell ref="Z116:AD116"/>
    <mergeCell ref="J104:K104"/>
    <mergeCell ref="A92:AU92"/>
    <mergeCell ref="AN73:AT78"/>
    <mergeCell ref="Z74:AD74"/>
    <mergeCell ref="AG74:AK74"/>
    <mergeCell ref="Z75:AD75"/>
    <mergeCell ref="AG75:AK75"/>
    <mergeCell ref="Z76:AD76"/>
    <mergeCell ref="Z77:AD77"/>
    <mergeCell ref="AG77:AK77"/>
    <mergeCell ref="AP69:AQ69"/>
    <mergeCell ref="Z73:AF73"/>
    <mergeCell ref="AG73:AM73"/>
    <mergeCell ref="AG76:AK76"/>
    <mergeCell ref="AK68:AL68"/>
    <mergeCell ref="AG58:AH58"/>
    <mergeCell ref="AK61:AL61"/>
    <mergeCell ref="AA57:AB57"/>
    <mergeCell ref="Z33:AF33"/>
    <mergeCell ref="AG33:AM33"/>
    <mergeCell ref="Z39:AD39"/>
    <mergeCell ref="AG34:AK34"/>
    <mergeCell ref="AG35:AK35"/>
    <mergeCell ref="AG36:AK36"/>
    <mergeCell ref="AG38:AK38"/>
    <mergeCell ref="AG39:AK39"/>
    <mergeCell ref="AG37:AK37"/>
    <mergeCell ref="N28:R29"/>
    <mergeCell ref="J27:K28"/>
    <mergeCell ref="AA29:AB29"/>
    <mergeCell ref="J24:K24"/>
    <mergeCell ref="L27:M28"/>
    <mergeCell ref="A2:AU2"/>
    <mergeCell ref="A1:AU1"/>
    <mergeCell ref="J23:K23"/>
    <mergeCell ref="AP29:AQ29"/>
    <mergeCell ref="AP22:AQ22"/>
    <mergeCell ref="A12:AU12"/>
    <mergeCell ref="U23:AC26"/>
    <mergeCell ref="AA27:AB27"/>
    <mergeCell ref="AA28:AB28"/>
    <mergeCell ref="A27:I28"/>
    <mergeCell ref="A5:AU5"/>
    <mergeCell ref="A45:AU45"/>
    <mergeCell ref="A85:AU85"/>
    <mergeCell ref="A86:AU86"/>
    <mergeCell ref="AA17:AB17"/>
    <mergeCell ref="I17:J17"/>
    <mergeCell ref="AK21:AL21"/>
    <mergeCell ref="AK28:AL28"/>
    <mergeCell ref="AG18:AH18"/>
    <mergeCell ref="N22:R23"/>
  </mergeCells>
  <printOptions horizontalCentered="1"/>
  <pageMargins left="0.5905511811023623" right="0.5905511811023623" top="0.984251968503937" bottom="0.5905511811023623" header="0.5118110236220472" footer="0.31496062992125984"/>
  <pageSetup horizontalDpi="300" verticalDpi="300" orientation="landscape" paperSize="9" scale="80" r:id="rId2"/>
  <headerFooter alignWithMargins="0">
    <oddFooter>&amp;RCogenerazione - Pag. &amp;P</oddFooter>
  </headerFooter>
  <rowBreaks count="2" manualBreakCount="2">
    <brk id="40" max="255" man="1"/>
    <brk id="80" max="255" man="1"/>
  </rowBreaks>
  <drawing r:id="rId1"/>
</worksheet>
</file>

<file path=xl/worksheets/sheet9.xml><?xml version="1.0" encoding="utf-8"?>
<worksheet xmlns="http://schemas.openxmlformats.org/spreadsheetml/2006/main" xmlns:r="http://schemas.openxmlformats.org/officeDocument/2006/relationships">
  <dimension ref="A1:BF120"/>
  <sheetViews>
    <sheetView showGridLines="0" zoomScale="75" zoomScaleNormal="75" workbookViewId="0" topLeftCell="A1">
      <selection activeCell="A1" sqref="A1:AU1"/>
    </sheetView>
  </sheetViews>
  <sheetFormatPr defaultColWidth="9.140625" defaultRowHeight="12.75"/>
  <cols>
    <col min="1" max="1" width="5.421875" style="127" customWidth="1"/>
    <col min="2" max="10" width="3.421875" style="127" customWidth="1"/>
    <col min="11" max="11" width="3.28125" style="127" customWidth="1"/>
    <col min="12" max="12" width="5.7109375" style="127" customWidth="1"/>
    <col min="13" max="47" width="3.421875" style="127" customWidth="1"/>
    <col min="48" max="49" width="7.57421875" style="127" customWidth="1"/>
    <col min="50" max="50" width="6.7109375" style="127" customWidth="1"/>
    <col min="51" max="16384" width="3.421875" style="127" customWidth="1"/>
  </cols>
  <sheetData>
    <row r="1" spans="1:49" ht="19.5" customHeight="1">
      <c r="A1" s="332" t="s">
        <v>220</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243">
        <v>7</v>
      </c>
      <c r="AW1" s="171" t="s">
        <v>187</v>
      </c>
    </row>
    <row r="2" spans="1:58" ht="19.5" customHeight="1">
      <c r="A2" s="332" t="str">
        <f>"CONDIZIONE DI FUNZIONAMENTO "&amp;AV2&amp;AW2&amp;IF(AX2&gt;0," (Lo stesso schema vale anche per la condizione "&amp;AX2&amp;")","")</f>
        <v>CONDIZIONE DI FUNZIONAMENTO 6A (Lo stesso schema vale anche per la condizione 8)</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244">
        <f>VLOOKUP($AV1,DbCasi,Pot!$B$39)</f>
        <v>6</v>
      </c>
      <c r="AW2" s="242" t="str">
        <f>IF(VLOOKUP($AV1,DbCasi,Pot!$C$39)&lt;&gt;0,VLOOKUP($AV1,DbCasi,Pot!$C$39),"")</f>
        <v>A</v>
      </c>
      <c r="AX2" s="237">
        <f>VLOOKUP($AV1,DbCasi,Pot!$D$39)</f>
        <v>8</v>
      </c>
      <c r="AY2" s="238" t="s">
        <v>226</v>
      </c>
      <c r="AZ2" s="239"/>
      <c r="BA2" s="239"/>
      <c r="BB2" s="239"/>
      <c r="BC2" s="239"/>
      <c r="BD2" s="239"/>
      <c r="BE2" s="239"/>
      <c r="BF2" s="240"/>
    </row>
    <row r="3" spans="1:47" ht="19.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row>
    <row r="4" spans="1:51" ht="19.5" customHeight="1">
      <c r="A4" s="334" t="str">
        <f>"Regolazione : "&amp;AY4&amp;IF(AV4=4,"","  -  Carico del motore : "&amp;TEXT(AW4*100,"00,0")&amp;"%")</f>
        <v>Regolazione : Carico Elettrico Comanda  -  Carico del motore : 90,0%</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229">
        <f>VLOOKUP($AV1,DbCasi,Pot!$H$9+1)</f>
        <v>1</v>
      </c>
      <c r="AW4" s="230">
        <f>VLOOKUP($AV1,DbCasi,Pot!$I$9+1)</f>
        <v>0.9</v>
      </c>
      <c r="AY4" s="127" t="str">
        <f>CHOOSE(AV4,"Carico Elettrico Comanda","Carico Termico Comanda","","Motore a carico massimo","Motore a carico minimo")</f>
        <v>Carico Elettrico Comanda</v>
      </c>
    </row>
    <row r="5" spans="1:47" ht="19.5" customHeight="1">
      <c r="A5" s="331" t="s">
        <v>253</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row>
    <row r="6" spans="1:47" ht="19.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row>
    <row r="7" spans="1:47" ht="19.5" customHeight="1" hidden="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row>
    <row r="8" spans="1:47" ht="19.5" customHeight="1" hidden="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row>
    <row r="9" spans="1:47" ht="19.5" customHeight="1" hidden="1">
      <c r="A9" s="126"/>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row>
    <row r="10" spans="1:47" ht="19.5" customHeight="1" hidden="1">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row>
    <row r="11" ht="19.5" customHeight="1"/>
    <row r="12" spans="1:47" ht="15.75">
      <c r="A12" s="333"/>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row>
    <row r="13" ht="15.75">
      <c r="A13" s="128"/>
    </row>
    <row r="14" ht="15.75">
      <c r="A14" s="128"/>
    </row>
    <row r="15" ht="12.75" customHeight="1"/>
    <row r="16" spans="15:26" ht="18">
      <c r="O16" s="170" t="s">
        <v>157</v>
      </c>
      <c r="W16" s="169" t="s">
        <v>156</v>
      </c>
      <c r="X16" s="129"/>
      <c r="Y16" s="129"/>
      <c r="Z16" s="129"/>
    </row>
    <row r="17" spans="9:29" ht="15.75">
      <c r="I17" s="337">
        <f>VLOOKUP($AV$1,DbCasi,Pot!$T$9+1)</f>
        <v>40</v>
      </c>
      <c r="J17" s="337"/>
      <c r="K17" s="138" t="s">
        <v>161</v>
      </c>
      <c r="AA17" s="337">
        <f>VLOOKUP($AV$1,DbCasi,Pot!$Q$9+1)</f>
        <v>950</v>
      </c>
      <c r="AB17" s="337"/>
      <c r="AC17" s="130" t="s">
        <v>161</v>
      </c>
    </row>
    <row r="18" spans="23:35" ht="12.75" customHeight="1">
      <c r="W18" s="128" t="str">
        <f>TEXT(AA17,"#.##0")&amp;" kW x "&amp;Testo!$J$77&amp;" Euro/kWh = "</f>
        <v>950 kW x 0,039 Euro/kWh = </v>
      </c>
      <c r="AG18" s="383">
        <f>ROUND(AA17*Testo!$J$77,1)</f>
        <v>37.1</v>
      </c>
      <c r="AH18" s="383"/>
      <c r="AI18" s="130" t="s">
        <v>165</v>
      </c>
    </row>
    <row r="19" ht="15.75" customHeight="1"/>
    <row r="20" ht="18">
      <c r="AG20" s="134" t="s">
        <v>162</v>
      </c>
    </row>
    <row r="21" spans="37:39" ht="12.75" customHeight="1" thickBot="1">
      <c r="AK21" s="337">
        <f>VLOOKUP($AV$1,DbCasi,Pot!$P$9+1)</f>
        <v>0</v>
      </c>
      <c r="AL21" s="337"/>
      <c r="AM21" s="130" t="s">
        <v>161</v>
      </c>
    </row>
    <row r="22" spans="14:48" ht="15" customHeight="1">
      <c r="N22" s="384" t="s">
        <v>144</v>
      </c>
      <c r="O22" s="384"/>
      <c r="P22" s="384"/>
      <c r="Q22" s="384"/>
      <c r="R22" s="384"/>
      <c r="T22" s="131"/>
      <c r="U22" s="132"/>
      <c r="V22" s="132"/>
      <c r="W22" s="132"/>
      <c r="X22" s="132"/>
      <c r="Y22" s="132"/>
      <c r="Z22" s="132"/>
      <c r="AA22" s="132"/>
      <c r="AB22" s="132"/>
      <c r="AC22" s="132"/>
      <c r="AD22" s="133"/>
      <c r="AE22" s="134"/>
      <c r="AG22" s="128" t="str">
        <f>TEXT(AK21,"#.##0")&amp;" kW x "&amp;TEXT(Testo!$J$75,"0,00")&amp;" Euro/kWh = "</f>
        <v>0 kW x 0,07 Euro/kWh = </v>
      </c>
      <c r="AP22" s="383">
        <f>ROUND(AK21*Testo!$J$75,1)</f>
        <v>0</v>
      </c>
      <c r="AQ22" s="383"/>
      <c r="AR22" s="130" t="s">
        <v>165</v>
      </c>
      <c r="AV22" s="136"/>
    </row>
    <row r="23" spans="1:48" ht="15.75" customHeight="1">
      <c r="A23" s="130" t="str">
        <f>TEXT(AA29,"#.##0")&amp;"kW / "&amp;Testo!$J$10&amp;" kWh/Sm3 = "</f>
        <v>2.250kW / 9,59 kWh/Sm3 = </v>
      </c>
      <c r="B23" s="130"/>
      <c r="C23" s="130"/>
      <c r="D23" s="130"/>
      <c r="E23" s="130"/>
      <c r="F23" s="130"/>
      <c r="G23" s="130"/>
      <c r="H23" s="130"/>
      <c r="I23" s="130"/>
      <c r="J23" s="333">
        <f>AA29/Testo!$J$10</f>
        <v>234.6193952033368</v>
      </c>
      <c r="K23" s="333"/>
      <c r="L23" s="130" t="s">
        <v>164</v>
      </c>
      <c r="N23" s="384"/>
      <c r="O23" s="384"/>
      <c r="P23" s="384"/>
      <c r="Q23" s="384"/>
      <c r="R23" s="384"/>
      <c r="T23" s="135"/>
      <c r="U23" s="335" t="s">
        <v>145</v>
      </c>
      <c r="V23" s="336"/>
      <c r="W23" s="336"/>
      <c r="X23" s="336"/>
      <c r="Y23" s="336"/>
      <c r="Z23" s="336"/>
      <c r="AA23" s="336"/>
      <c r="AB23" s="336"/>
      <c r="AC23" s="336"/>
      <c r="AD23" s="137"/>
      <c r="AV23" s="136"/>
    </row>
    <row r="24" spans="1:48" ht="15.75" customHeight="1">
      <c r="A24" s="130" t="str">
        <f>TEXT(J23,"000")&amp;"Sm3/h x "&amp;Testo!$J$15&amp;" Euro/Sm3 = "</f>
        <v>235Sm3/h x 0,3 Euro/Sm3 = </v>
      </c>
      <c r="B24" s="138"/>
      <c r="C24" s="138"/>
      <c r="D24" s="138"/>
      <c r="E24" s="138"/>
      <c r="F24" s="138"/>
      <c r="G24" s="138"/>
      <c r="H24" s="138"/>
      <c r="I24" s="138"/>
      <c r="J24" s="333">
        <f>ROUND(J23*Testo!$J$15,1)</f>
        <v>70.4</v>
      </c>
      <c r="K24" s="333"/>
      <c r="L24" s="130" t="s">
        <v>165</v>
      </c>
      <c r="T24" s="135"/>
      <c r="U24" s="336"/>
      <c r="V24" s="336"/>
      <c r="W24" s="336"/>
      <c r="X24" s="336"/>
      <c r="Y24" s="336"/>
      <c r="Z24" s="336"/>
      <c r="AA24" s="336"/>
      <c r="AB24" s="336"/>
      <c r="AC24" s="336"/>
      <c r="AD24" s="137"/>
      <c r="AV24" s="136"/>
    </row>
    <row r="25" spans="1:48" ht="12.75" customHeight="1">
      <c r="A25" s="138"/>
      <c r="B25" s="138"/>
      <c r="C25" s="138"/>
      <c r="D25" s="138"/>
      <c r="E25" s="138"/>
      <c r="F25" s="138"/>
      <c r="G25" s="138"/>
      <c r="H25" s="138"/>
      <c r="I25" s="138"/>
      <c r="J25" s="138"/>
      <c r="K25" s="138"/>
      <c r="L25" s="138"/>
      <c r="T25" s="135"/>
      <c r="U25" s="336"/>
      <c r="V25" s="336"/>
      <c r="W25" s="336"/>
      <c r="X25" s="336"/>
      <c r="Y25" s="336"/>
      <c r="Z25" s="336"/>
      <c r="AA25" s="336"/>
      <c r="AB25" s="336"/>
      <c r="AC25" s="336"/>
      <c r="AD25" s="137"/>
      <c r="AV25" s="136"/>
    </row>
    <row r="26" spans="20:48" ht="12.75">
      <c r="T26" s="135"/>
      <c r="U26" s="336"/>
      <c r="V26" s="336"/>
      <c r="W26" s="336"/>
      <c r="X26" s="336"/>
      <c r="Y26" s="336"/>
      <c r="Z26" s="336"/>
      <c r="AA26" s="336"/>
      <c r="AB26" s="336"/>
      <c r="AC26" s="336"/>
      <c r="AD26" s="137"/>
      <c r="AV26" s="136"/>
    </row>
    <row r="27" spans="1:48" ht="15.75" customHeight="1">
      <c r="A27" s="333" t="str">
        <f>TEXT(AA27,"#.##0")&amp;" kW x "&amp;Testo!$J$17&amp;" Euro/kWh = "</f>
        <v>900 kW x 0,011 Euro/kWh = </v>
      </c>
      <c r="B27" s="333"/>
      <c r="C27" s="333"/>
      <c r="D27" s="333"/>
      <c r="E27" s="333"/>
      <c r="F27" s="333"/>
      <c r="G27" s="333"/>
      <c r="H27" s="333"/>
      <c r="I27" s="333"/>
      <c r="J27" s="383">
        <f>ROUND(AA27*Testo!$J$17,1)</f>
        <v>9.9</v>
      </c>
      <c r="K27" s="383"/>
      <c r="L27" s="390" t="s">
        <v>165</v>
      </c>
      <c r="M27" s="390"/>
      <c r="T27" s="177" t="s">
        <v>158</v>
      </c>
      <c r="U27" s="136"/>
      <c r="V27" s="136"/>
      <c r="W27" s="136"/>
      <c r="X27" s="136"/>
      <c r="Y27" s="136"/>
      <c r="Z27" s="136"/>
      <c r="AA27" s="386">
        <f>VLOOKUP($AV$1,DbCasi,Pot!$J$9+1)</f>
        <v>900</v>
      </c>
      <c r="AB27" s="386"/>
      <c r="AC27" s="176" t="s">
        <v>141</v>
      </c>
      <c r="AD27" s="137"/>
      <c r="AG27" s="134" t="s">
        <v>163</v>
      </c>
      <c r="AV27" s="136"/>
    </row>
    <row r="28" spans="1:39" ht="15.75" customHeight="1">
      <c r="A28" s="333"/>
      <c r="B28" s="333"/>
      <c r="C28" s="333"/>
      <c r="D28" s="333"/>
      <c r="E28" s="333"/>
      <c r="F28" s="333"/>
      <c r="G28" s="333"/>
      <c r="H28" s="333"/>
      <c r="I28" s="333"/>
      <c r="J28" s="383"/>
      <c r="K28" s="383"/>
      <c r="L28" s="390"/>
      <c r="M28" s="390"/>
      <c r="N28" s="385" t="s">
        <v>146</v>
      </c>
      <c r="O28" s="385"/>
      <c r="P28" s="385"/>
      <c r="Q28" s="385"/>
      <c r="R28" s="385"/>
      <c r="T28" s="177" t="s">
        <v>159</v>
      </c>
      <c r="U28" s="136"/>
      <c r="V28" s="136"/>
      <c r="W28" s="136"/>
      <c r="X28" s="136"/>
      <c r="Y28" s="136"/>
      <c r="Z28" s="136"/>
      <c r="AA28" s="386">
        <f>VLOOKUP($AV$1,DbCasi,Pot!$K$9+1)</f>
        <v>990</v>
      </c>
      <c r="AB28" s="386"/>
      <c r="AC28" s="176" t="s">
        <v>141</v>
      </c>
      <c r="AD28" s="137"/>
      <c r="AK28" s="337">
        <f>VLOOKUP($AV$1,DbCasi,Pot!$N$9+1)</f>
        <v>900</v>
      </c>
      <c r="AL28" s="337"/>
      <c r="AM28" s="130" t="s">
        <v>161</v>
      </c>
    </row>
    <row r="29" spans="14:44" ht="15.75" customHeight="1">
      <c r="N29" s="385"/>
      <c r="O29" s="385"/>
      <c r="P29" s="385"/>
      <c r="Q29" s="385"/>
      <c r="R29" s="385"/>
      <c r="T29" s="177" t="s">
        <v>160</v>
      </c>
      <c r="U29" s="136"/>
      <c r="V29" s="136"/>
      <c r="W29" s="136"/>
      <c r="X29" s="136"/>
      <c r="Y29" s="136"/>
      <c r="Z29" s="136"/>
      <c r="AA29" s="386">
        <f>VLOOKUP($AV$1,DbCasi,Pot!$L$9+1)</f>
        <v>2250</v>
      </c>
      <c r="AB29" s="386"/>
      <c r="AC29" s="176" t="s">
        <v>141</v>
      </c>
      <c r="AD29" s="137"/>
      <c r="AG29" s="128" t="str">
        <f>TEXT(AK28,"#.##0")&amp;" kW x "&amp;TEXT(Testo!$J$74,"0,00")&amp;" Euro/kWh = "</f>
        <v>900 kW x 0,10 Euro/kWh = </v>
      </c>
      <c r="AP29" s="383">
        <f>ROUND(AK28*Testo!$J$74,0)</f>
        <v>90</v>
      </c>
      <c r="AQ29" s="383"/>
      <c r="AR29" s="130" t="s">
        <v>165</v>
      </c>
    </row>
    <row r="30" spans="20:31" ht="15.75" customHeight="1" thickBot="1">
      <c r="T30" s="139"/>
      <c r="U30" s="140"/>
      <c r="V30" s="140"/>
      <c r="W30" s="140"/>
      <c r="X30" s="140"/>
      <c r="Y30" s="140"/>
      <c r="Z30" s="140"/>
      <c r="AA30" s="140"/>
      <c r="AB30" s="140"/>
      <c r="AC30" s="140"/>
      <c r="AD30" s="141"/>
      <c r="AE30" s="128"/>
    </row>
    <row r="31" spans="20:31" ht="15.75" customHeight="1">
      <c r="T31" s="136"/>
      <c r="U31" s="136"/>
      <c r="V31" s="136"/>
      <c r="W31" s="136"/>
      <c r="X31" s="136"/>
      <c r="Y31" s="136"/>
      <c r="Z31" s="136"/>
      <c r="AA31" s="136"/>
      <c r="AB31" s="136"/>
      <c r="AC31" s="136"/>
      <c r="AD31" s="136"/>
      <c r="AE31" s="128"/>
    </row>
    <row r="32" spans="20:31" ht="15.75" customHeight="1">
      <c r="T32" s="136"/>
      <c r="U32" s="136"/>
      <c r="V32" s="136"/>
      <c r="W32" s="136"/>
      <c r="X32" s="136"/>
      <c r="Y32" s="136"/>
      <c r="Z32" s="136"/>
      <c r="AA32" s="136"/>
      <c r="AB32" s="136"/>
      <c r="AC32" s="136"/>
      <c r="AD32" s="136"/>
      <c r="AE32" s="128"/>
    </row>
    <row r="33" spans="1:46" ht="18" customHeight="1">
      <c r="A33" s="142"/>
      <c r="B33" s="186" t="s">
        <v>171</v>
      </c>
      <c r="C33" s="187"/>
      <c r="D33" s="187"/>
      <c r="E33" s="187"/>
      <c r="F33" s="187"/>
      <c r="G33" s="187"/>
      <c r="H33" s="187"/>
      <c r="I33" s="187"/>
      <c r="J33" s="187"/>
      <c r="K33" s="187"/>
      <c r="L33" s="187"/>
      <c r="M33" s="187"/>
      <c r="N33" s="187"/>
      <c r="O33" s="187"/>
      <c r="P33" s="187"/>
      <c r="Q33" s="187"/>
      <c r="R33" s="187"/>
      <c r="S33" s="187"/>
      <c r="T33" s="187"/>
      <c r="U33" s="187"/>
      <c r="V33" s="187"/>
      <c r="W33" s="187"/>
      <c r="X33" s="187"/>
      <c r="Y33" s="188"/>
      <c r="Z33" s="387" t="s">
        <v>168</v>
      </c>
      <c r="AA33" s="388"/>
      <c r="AB33" s="388"/>
      <c r="AC33" s="388"/>
      <c r="AD33" s="388"/>
      <c r="AE33" s="388"/>
      <c r="AF33" s="389"/>
      <c r="AG33" s="387" t="s">
        <v>169</v>
      </c>
      <c r="AH33" s="388"/>
      <c r="AI33" s="388"/>
      <c r="AJ33" s="388"/>
      <c r="AK33" s="388"/>
      <c r="AL33" s="388"/>
      <c r="AM33" s="389"/>
      <c r="AN33" s="400" t="s">
        <v>198</v>
      </c>
      <c r="AO33" s="401"/>
      <c r="AP33" s="401"/>
      <c r="AQ33" s="401"/>
      <c r="AR33" s="401"/>
      <c r="AS33" s="401"/>
      <c r="AT33" s="402"/>
    </row>
    <row r="34" spans="1:46" ht="18">
      <c r="A34" s="143"/>
      <c r="B34" s="191" t="str">
        <f>Eco!$B$11</f>
        <v> - ricavi da energia elettrica cogenerata vs. stabilimento</v>
      </c>
      <c r="C34" s="178"/>
      <c r="D34" s="179"/>
      <c r="E34" s="179"/>
      <c r="F34" s="179"/>
      <c r="G34" s="179"/>
      <c r="H34" s="179"/>
      <c r="I34" s="179"/>
      <c r="J34" s="179"/>
      <c r="K34" s="179"/>
      <c r="L34" s="179"/>
      <c r="M34" s="179"/>
      <c r="N34" s="179"/>
      <c r="O34" s="179"/>
      <c r="P34" s="179"/>
      <c r="Q34" s="179"/>
      <c r="R34" s="179"/>
      <c r="S34" s="179"/>
      <c r="T34" s="179"/>
      <c r="U34" s="179"/>
      <c r="V34" s="179"/>
      <c r="W34" s="179"/>
      <c r="X34" s="179"/>
      <c r="Y34" s="180"/>
      <c r="Z34" s="391">
        <f>AP29</f>
        <v>90</v>
      </c>
      <c r="AA34" s="392"/>
      <c r="AB34" s="392"/>
      <c r="AC34" s="392"/>
      <c r="AD34" s="392"/>
      <c r="AE34" s="189"/>
      <c r="AF34" s="190"/>
      <c r="AG34" s="391"/>
      <c r="AH34" s="392"/>
      <c r="AI34" s="392"/>
      <c r="AJ34" s="392"/>
      <c r="AK34" s="392"/>
      <c r="AL34" s="189"/>
      <c r="AM34" s="190"/>
      <c r="AN34" s="403"/>
      <c r="AO34" s="404"/>
      <c r="AP34" s="404"/>
      <c r="AQ34" s="404"/>
      <c r="AR34" s="404"/>
      <c r="AS34" s="404"/>
      <c r="AT34" s="405"/>
    </row>
    <row r="35" spans="1:46" ht="18">
      <c r="A35" s="143"/>
      <c r="B35" s="191" t="str">
        <f>Eco!$B$12</f>
        <v> - ricavi da energia elettrica esportata</v>
      </c>
      <c r="C35" s="179"/>
      <c r="D35" s="179"/>
      <c r="E35" s="179"/>
      <c r="F35" s="179"/>
      <c r="G35" s="179"/>
      <c r="H35" s="179"/>
      <c r="I35" s="179"/>
      <c r="J35" s="179"/>
      <c r="K35" s="179"/>
      <c r="L35" s="179"/>
      <c r="M35" s="179"/>
      <c r="N35" s="179"/>
      <c r="O35" s="179"/>
      <c r="P35" s="179"/>
      <c r="Q35" s="179"/>
      <c r="R35" s="179"/>
      <c r="S35" s="179"/>
      <c r="T35" s="179"/>
      <c r="U35" s="179"/>
      <c r="V35" s="179"/>
      <c r="W35" s="179"/>
      <c r="X35" s="179"/>
      <c r="Y35" s="180"/>
      <c r="Z35" s="391">
        <f>AP22</f>
        <v>0</v>
      </c>
      <c r="AA35" s="392"/>
      <c r="AB35" s="392"/>
      <c r="AC35" s="392"/>
      <c r="AD35" s="392"/>
      <c r="AE35" s="189"/>
      <c r="AF35" s="190"/>
      <c r="AG35" s="391"/>
      <c r="AH35" s="392"/>
      <c r="AI35" s="392"/>
      <c r="AJ35" s="392"/>
      <c r="AK35" s="392"/>
      <c r="AL35" s="189"/>
      <c r="AM35" s="190"/>
      <c r="AN35" s="403"/>
      <c r="AO35" s="404"/>
      <c r="AP35" s="404"/>
      <c r="AQ35" s="404"/>
      <c r="AR35" s="404"/>
      <c r="AS35" s="404"/>
      <c r="AT35" s="405"/>
    </row>
    <row r="36" spans="1:46" ht="18">
      <c r="A36" s="143"/>
      <c r="B36" s="191" t="str">
        <f>Eco!$B$13</f>
        <v> - ricavi da energia termica cogenerata</v>
      </c>
      <c r="C36" s="181"/>
      <c r="D36" s="181"/>
      <c r="E36" s="181"/>
      <c r="F36" s="182"/>
      <c r="G36" s="182"/>
      <c r="H36" s="182"/>
      <c r="I36" s="182"/>
      <c r="J36" s="182"/>
      <c r="K36" s="182"/>
      <c r="L36" s="182"/>
      <c r="M36" s="182"/>
      <c r="N36" s="182"/>
      <c r="O36" s="182"/>
      <c r="P36" s="182"/>
      <c r="Q36" s="182"/>
      <c r="R36" s="182"/>
      <c r="S36" s="182"/>
      <c r="T36" s="182"/>
      <c r="U36" s="182"/>
      <c r="V36" s="182"/>
      <c r="W36" s="182"/>
      <c r="X36" s="182"/>
      <c r="Y36" s="183"/>
      <c r="Z36" s="391">
        <f>AG18</f>
        <v>37.1</v>
      </c>
      <c r="AA36" s="392"/>
      <c r="AB36" s="392"/>
      <c r="AC36" s="392"/>
      <c r="AD36" s="392"/>
      <c r="AE36" s="189"/>
      <c r="AF36" s="190"/>
      <c r="AG36" s="391"/>
      <c r="AH36" s="392"/>
      <c r="AI36" s="392"/>
      <c r="AJ36" s="392"/>
      <c r="AK36" s="392"/>
      <c r="AL36" s="189"/>
      <c r="AM36" s="190"/>
      <c r="AN36" s="403"/>
      <c r="AO36" s="404"/>
      <c r="AP36" s="404"/>
      <c r="AQ36" s="404"/>
      <c r="AR36" s="404"/>
      <c r="AS36" s="404"/>
      <c r="AT36" s="405"/>
    </row>
    <row r="37" spans="1:46" ht="18">
      <c r="A37" s="143"/>
      <c r="B37" s="191" t="str">
        <f>Eco!$B$15</f>
        <v> - costo gas naturale per cogeneratore</v>
      </c>
      <c r="C37" s="181"/>
      <c r="D37" s="181"/>
      <c r="E37" s="181"/>
      <c r="F37" s="182"/>
      <c r="G37" s="182"/>
      <c r="H37" s="182"/>
      <c r="I37" s="182"/>
      <c r="J37" s="182"/>
      <c r="K37" s="182"/>
      <c r="L37" s="182"/>
      <c r="M37" s="182"/>
      <c r="N37" s="182"/>
      <c r="O37" s="182"/>
      <c r="P37" s="182"/>
      <c r="Q37" s="182"/>
      <c r="R37" s="182"/>
      <c r="S37" s="182"/>
      <c r="T37" s="182"/>
      <c r="U37" s="182"/>
      <c r="V37" s="182"/>
      <c r="W37" s="182"/>
      <c r="X37" s="182"/>
      <c r="Y37" s="183"/>
      <c r="Z37" s="391"/>
      <c r="AA37" s="392"/>
      <c r="AB37" s="392"/>
      <c r="AC37" s="392"/>
      <c r="AD37" s="392"/>
      <c r="AE37" s="189"/>
      <c r="AF37" s="190"/>
      <c r="AG37" s="391">
        <f>-J24</f>
        <v>-70.4</v>
      </c>
      <c r="AH37" s="392"/>
      <c r="AI37" s="392"/>
      <c r="AJ37" s="392"/>
      <c r="AK37" s="392"/>
      <c r="AL37" s="189"/>
      <c r="AM37" s="190"/>
      <c r="AN37" s="403"/>
      <c r="AO37" s="404"/>
      <c r="AP37" s="404"/>
      <c r="AQ37" s="404"/>
      <c r="AR37" s="404"/>
      <c r="AS37" s="404"/>
      <c r="AT37" s="405"/>
    </row>
    <row r="38" spans="1:46" ht="18">
      <c r="A38" s="128"/>
      <c r="B38" s="191" t="str">
        <f>Eco!$B$17</f>
        <v> - costo manutenzione cogeneratore</v>
      </c>
      <c r="C38" s="178"/>
      <c r="D38" s="178"/>
      <c r="E38" s="178"/>
      <c r="F38" s="178"/>
      <c r="G38" s="178"/>
      <c r="H38" s="178"/>
      <c r="I38" s="178"/>
      <c r="J38" s="178"/>
      <c r="K38" s="178"/>
      <c r="L38" s="178"/>
      <c r="M38" s="178"/>
      <c r="N38" s="178"/>
      <c r="O38" s="178"/>
      <c r="P38" s="178"/>
      <c r="Q38" s="178"/>
      <c r="R38" s="178"/>
      <c r="S38" s="178"/>
      <c r="T38" s="178"/>
      <c r="U38" s="178"/>
      <c r="V38" s="178"/>
      <c r="W38" s="178"/>
      <c r="X38" s="178"/>
      <c r="Y38" s="184"/>
      <c r="Z38" s="391"/>
      <c r="AA38" s="392"/>
      <c r="AB38" s="392"/>
      <c r="AC38" s="392"/>
      <c r="AD38" s="392"/>
      <c r="AE38" s="189"/>
      <c r="AF38" s="190"/>
      <c r="AG38" s="391">
        <f>-J27</f>
        <v>-9.9</v>
      </c>
      <c r="AH38" s="392"/>
      <c r="AI38" s="392"/>
      <c r="AJ38" s="392"/>
      <c r="AK38" s="392"/>
      <c r="AL38" s="189"/>
      <c r="AM38" s="190"/>
      <c r="AN38" s="406"/>
      <c r="AO38" s="407"/>
      <c r="AP38" s="407"/>
      <c r="AQ38" s="407"/>
      <c r="AR38" s="407"/>
      <c r="AS38" s="407"/>
      <c r="AT38" s="408"/>
    </row>
    <row r="39" spans="1:46" ht="15.75">
      <c r="A39" s="128"/>
      <c r="B39" s="185" t="s">
        <v>170</v>
      </c>
      <c r="C39" s="178"/>
      <c r="D39" s="178"/>
      <c r="E39" s="178"/>
      <c r="F39" s="178"/>
      <c r="G39" s="178"/>
      <c r="H39" s="178"/>
      <c r="I39" s="178"/>
      <c r="J39" s="178"/>
      <c r="K39" s="178"/>
      <c r="L39" s="178"/>
      <c r="M39" s="178"/>
      <c r="N39" s="178"/>
      <c r="O39" s="178"/>
      <c r="P39" s="178"/>
      <c r="Q39" s="178"/>
      <c r="R39" s="178"/>
      <c r="S39" s="178"/>
      <c r="T39" s="178"/>
      <c r="U39" s="178"/>
      <c r="V39" s="178"/>
      <c r="W39" s="178"/>
      <c r="X39" s="178"/>
      <c r="Y39" s="184"/>
      <c r="Z39" s="393">
        <f>SUM(Z34:AF38)</f>
        <v>127.1</v>
      </c>
      <c r="AA39" s="394"/>
      <c r="AB39" s="394"/>
      <c r="AC39" s="394"/>
      <c r="AD39" s="394"/>
      <c r="AE39" s="189"/>
      <c r="AF39" s="190"/>
      <c r="AG39" s="393">
        <f>SUM(AG34:AM38)</f>
        <v>-80.30000000000001</v>
      </c>
      <c r="AH39" s="394"/>
      <c r="AI39" s="394"/>
      <c r="AJ39" s="394"/>
      <c r="AK39" s="394"/>
      <c r="AL39" s="189"/>
      <c r="AM39" s="190"/>
      <c r="AN39" s="397">
        <f>+Z39+AG39</f>
        <v>46.79999999999998</v>
      </c>
      <c r="AO39" s="398"/>
      <c r="AP39" s="398"/>
      <c r="AQ39" s="398"/>
      <c r="AR39" s="398"/>
      <c r="AS39" s="398"/>
      <c r="AT39" s="399"/>
    </row>
    <row r="40" spans="1:40" ht="18">
      <c r="A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9" ht="19.5" customHeight="1">
      <c r="A41" s="332" t="s">
        <v>220</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236">
        <f>AV1+1</f>
        <v>8</v>
      </c>
      <c r="AW41" s="171" t="s">
        <v>187</v>
      </c>
    </row>
    <row r="42" spans="1:58" ht="19.5" customHeight="1">
      <c r="A42" s="332" t="str">
        <f>"CONDIZIONE DI FUNZIONAMENTO "&amp;AV42&amp;AW42&amp;IF(AX42&gt;0," (Lo stesso schema vale anche per la condizione "&amp;AX42&amp;")","")</f>
        <v>CONDIZIONE DI FUNZIONAMENTO 6B (Lo stesso schema vale anche per la condizione 8)</v>
      </c>
      <c r="B42" s="332"/>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244">
        <f>VLOOKUP($AV41,DbCasi,Pot!$B$39)</f>
        <v>6</v>
      </c>
      <c r="AW42" s="242" t="str">
        <f>IF(VLOOKUP($AV41,DbCasi,Pot!$C$39)&lt;&gt;0,VLOOKUP($AV41,DbCasi,Pot!$C$39),"")</f>
        <v>B</v>
      </c>
      <c r="AX42" s="237">
        <f>VLOOKUP($AV41,DbCasi,Pot!$D$39)</f>
        <v>8</v>
      </c>
      <c r="AY42" s="238" t="s">
        <v>226</v>
      </c>
      <c r="AZ42" s="239"/>
      <c r="BA42" s="239"/>
      <c r="BB42" s="239"/>
      <c r="BC42" s="239"/>
      <c r="BD42" s="239"/>
      <c r="BE42" s="239"/>
      <c r="BF42" s="240"/>
    </row>
    <row r="43" spans="1:47" ht="1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row>
    <row r="44" spans="1:51" ht="19.5" customHeight="1">
      <c r="A44" s="334" t="str">
        <f>"Regolazione : "&amp;AY44&amp;IF(AV44=4,"","  -  Carico del motore : "&amp;TEXT(AW44*100,"00,0")&amp;"%")</f>
        <v>Regolazione : Carico Termico Comanda  -  Carico del motore : 86,4%</v>
      </c>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229">
        <f>VLOOKUP($AV41,DbCasi,Pot!$H$9+1)</f>
        <v>2</v>
      </c>
      <c r="AW44" s="230">
        <f>VLOOKUP($AV41,DbCasi,Pot!$I$9+1)</f>
        <v>0.8636363636363636</v>
      </c>
      <c r="AY44" s="127" t="str">
        <f>CHOOSE(AV44,"Carico Elettrico Comanda","Carico Termico Comanda","","Motore a carico massimo","Motore a carico minimo")</f>
        <v>Carico Termico Comanda</v>
      </c>
    </row>
    <row r="45" spans="1:47" ht="19.5" customHeight="1">
      <c r="A45" s="331" t="s">
        <v>257</v>
      </c>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row>
    <row r="46" spans="1:47" ht="1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row>
    <row r="47" spans="1:47" ht="19.5" customHeight="1" hidden="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row>
    <row r="48" spans="1:47" ht="19.5" customHeight="1" hidden="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row>
    <row r="49" spans="1:47" ht="19.5" customHeight="1" hidden="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row>
    <row r="50" spans="1:47" ht="19.5" customHeight="1" hidden="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row>
    <row r="51" ht="19.5" customHeight="1"/>
    <row r="52" spans="1:47" ht="15.75">
      <c r="A52" s="333"/>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row>
    <row r="53" ht="15.75">
      <c r="A53" s="128"/>
    </row>
    <row r="54" ht="15.75">
      <c r="A54" s="128"/>
    </row>
    <row r="55" ht="12.75" customHeight="1"/>
    <row r="56" spans="15:26" ht="18">
      <c r="O56" s="170" t="s">
        <v>157</v>
      </c>
      <c r="W56" s="169" t="s">
        <v>156</v>
      </c>
      <c r="X56" s="129"/>
      <c r="Y56" s="129"/>
      <c r="Z56" s="129"/>
    </row>
    <row r="57" spans="9:29" ht="15.75">
      <c r="I57" s="337">
        <f>VLOOKUP($AV$41,DbCasi,Pot!$T$9+1)</f>
        <v>0</v>
      </c>
      <c r="J57" s="337"/>
      <c r="K57" s="138" t="s">
        <v>161</v>
      </c>
      <c r="AA57" s="337">
        <f>VLOOKUP($AV$41,DbCasi,Pot!$Q$9+1)</f>
        <v>950</v>
      </c>
      <c r="AB57" s="337"/>
      <c r="AC57" s="130" t="s">
        <v>161</v>
      </c>
    </row>
    <row r="58" spans="23:35" ht="12.75" customHeight="1">
      <c r="W58" s="128" t="str">
        <f>TEXT(AA57,"#.##0")&amp;" kW x "&amp;Testo!$J$77&amp;" Euro/kWh = "</f>
        <v>950 kW x 0,039 Euro/kWh = </v>
      </c>
      <c r="AG58" s="383">
        <f>ROUND(AA57*Testo!$J$77,1)</f>
        <v>37.1</v>
      </c>
      <c r="AH58" s="383"/>
      <c r="AI58" s="130" t="s">
        <v>165</v>
      </c>
    </row>
    <row r="59" ht="15.75" customHeight="1"/>
    <row r="60" ht="18">
      <c r="AG60" s="134" t="s">
        <v>162</v>
      </c>
    </row>
    <row r="61" spans="37:39" ht="12.75" customHeight="1" thickBot="1">
      <c r="AK61" s="337">
        <f>VLOOKUP($AV$41,DbCasi,Pot!$P$9+1)</f>
        <v>0</v>
      </c>
      <c r="AL61" s="337"/>
      <c r="AM61" s="130" t="s">
        <v>161</v>
      </c>
    </row>
    <row r="62" spans="14:48" ht="15" customHeight="1">
      <c r="N62" s="384" t="s">
        <v>144</v>
      </c>
      <c r="O62" s="384"/>
      <c r="P62" s="384"/>
      <c r="Q62" s="384"/>
      <c r="R62" s="384"/>
      <c r="T62" s="131"/>
      <c r="U62" s="132"/>
      <c r="V62" s="132"/>
      <c r="W62" s="132"/>
      <c r="X62" s="132"/>
      <c r="Y62" s="132"/>
      <c r="Z62" s="132"/>
      <c r="AA62" s="132"/>
      <c r="AB62" s="132"/>
      <c r="AC62" s="132"/>
      <c r="AD62" s="133"/>
      <c r="AE62" s="134"/>
      <c r="AG62" s="128" t="str">
        <f>TEXT(AK61,"#.##0")&amp;" kW x "&amp;TEXT(Testo!$J$75,"0,00")&amp;" Euro/kWh = "</f>
        <v>0 kW x 0,07 Euro/kWh = </v>
      </c>
      <c r="AP62" s="383">
        <f>ROUND(AK61*Testo!$J$75,1)</f>
        <v>0</v>
      </c>
      <c r="AQ62" s="383"/>
      <c r="AR62" s="130" t="s">
        <v>165</v>
      </c>
      <c r="AV62" s="136"/>
    </row>
    <row r="63" spans="1:48" ht="15.75" customHeight="1">
      <c r="A63" s="130" t="str">
        <f>TEXT(AA69,"#.##0")&amp;"kW / "&amp;Testo!$J$10&amp;" kWh/Sm3 = "</f>
        <v>2.159kW / 9,59 kWh/Sm3 = </v>
      </c>
      <c r="B63" s="130"/>
      <c r="C63" s="130"/>
      <c r="D63" s="130"/>
      <c r="E63" s="130"/>
      <c r="F63" s="130"/>
      <c r="G63" s="130"/>
      <c r="H63" s="130"/>
      <c r="I63" s="130"/>
      <c r="J63" s="333">
        <f>AA69/Testo!$J$10</f>
        <v>225.13982367996965</v>
      </c>
      <c r="K63" s="333"/>
      <c r="L63" s="130" t="s">
        <v>164</v>
      </c>
      <c r="N63" s="384"/>
      <c r="O63" s="384"/>
      <c r="P63" s="384"/>
      <c r="Q63" s="384"/>
      <c r="R63" s="384"/>
      <c r="T63" s="135"/>
      <c r="U63" s="335" t="s">
        <v>145</v>
      </c>
      <c r="V63" s="336"/>
      <c r="W63" s="336"/>
      <c r="X63" s="336"/>
      <c r="Y63" s="336"/>
      <c r="Z63" s="336"/>
      <c r="AA63" s="336"/>
      <c r="AB63" s="336"/>
      <c r="AC63" s="336"/>
      <c r="AD63" s="137"/>
      <c r="AV63" s="136"/>
    </row>
    <row r="64" spans="1:48" ht="15.75" customHeight="1">
      <c r="A64" s="130" t="str">
        <f>TEXT(J63,"000")&amp;"Sm3/h x "&amp;Testo!$J$15&amp;" Euro/Sm3 = "</f>
        <v>225Sm3/h x 0,3 Euro/Sm3 = </v>
      </c>
      <c r="B64" s="138"/>
      <c r="C64" s="138"/>
      <c r="D64" s="138"/>
      <c r="E64" s="138"/>
      <c r="F64" s="138"/>
      <c r="G64" s="138"/>
      <c r="H64" s="138"/>
      <c r="I64" s="138"/>
      <c r="J64" s="333">
        <f>ROUND(J63*Testo!$J$15,1)</f>
        <v>67.5</v>
      </c>
      <c r="K64" s="333"/>
      <c r="L64" s="130" t="s">
        <v>165</v>
      </c>
      <c r="T64" s="135"/>
      <c r="U64" s="336"/>
      <c r="V64" s="336"/>
      <c r="W64" s="336"/>
      <c r="X64" s="336"/>
      <c r="Y64" s="336"/>
      <c r="Z64" s="336"/>
      <c r="AA64" s="336"/>
      <c r="AB64" s="336"/>
      <c r="AC64" s="336"/>
      <c r="AD64" s="137"/>
      <c r="AV64" s="136"/>
    </row>
    <row r="65" spans="1:48" ht="12.75" customHeight="1">
      <c r="A65" s="138"/>
      <c r="B65" s="138"/>
      <c r="C65" s="138"/>
      <c r="D65" s="138"/>
      <c r="E65" s="138"/>
      <c r="F65" s="138"/>
      <c r="G65" s="138"/>
      <c r="H65" s="138"/>
      <c r="I65" s="138"/>
      <c r="J65" s="138"/>
      <c r="K65" s="138"/>
      <c r="L65" s="138"/>
      <c r="T65" s="135"/>
      <c r="U65" s="336"/>
      <c r="V65" s="336"/>
      <c r="W65" s="336"/>
      <c r="X65" s="336"/>
      <c r="Y65" s="336"/>
      <c r="Z65" s="336"/>
      <c r="AA65" s="336"/>
      <c r="AB65" s="336"/>
      <c r="AC65" s="336"/>
      <c r="AD65" s="137"/>
      <c r="AV65" s="136"/>
    </row>
    <row r="66" spans="20:48" ht="12.75">
      <c r="T66" s="135"/>
      <c r="U66" s="336"/>
      <c r="V66" s="336"/>
      <c r="W66" s="336"/>
      <c r="X66" s="336"/>
      <c r="Y66" s="336"/>
      <c r="Z66" s="336"/>
      <c r="AA66" s="336"/>
      <c r="AB66" s="336"/>
      <c r="AC66" s="336"/>
      <c r="AD66" s="137"/>
      <c r="AV66" s="136"/>
    </row>
    <row r="67" spans="1:48" ht="15.75" customHeight="1">
      <c r="A67" s="333" t="str">
        <f>TEXT(AA67,"#.##0")&amp;" kW x "&amp;Testo!$J$17&amp;" Euro/kWh = "</f>
        <v>864 kW x 0,011 Euro/kWh = </v>
      </c>
      <c r="B67" s="333"/>
      <c r="C67" s="333"/>
      <c r="D67" s="333"/>
      <c r="E67" s="333"/>
      <c r="F67" s="333"/>
      <c r="G67" s="333"/>
      <c r="H67" s="333"/>
      <c r="I67" s="333"/>
      <c r="J67" s="383">
        <f>ROUND(AA67*Testo!$J$17,1)</f>
        <v>9.5</v>
      </c>
      <c r="K67" s="383"/>
      <c r="L67" s="390" t="s">
        <v>165</v>
      </c>
      <c r="M67" s="390"/>
      <c r="T67" s="177" t="s">
        <v>158</v>
      </c>
      <c r="U67" s="136"/>
      <c r="V67" s="136"/>
      <c r="W67" s="136"/>
      <c r="X67" s="136"/>
      <c r="Y67" s="136"/>
      <c r="Z67" s="136"/>
      <c r="AA67" s="386">
        <f>VLOOKUP($AV$41,DbCasi,Pot!$J$9+1)</f>
        <v>863.6363636363636</v>
      </c>
      <c r="AB67" s="386"/>
      <c r="AC67" s="176" t="s">
        <v>141</v>
      </c>
      <c r="AD67" s="137"/>
      <c r="AG67" s="134" t="s">
        <v>163</v>
      </c>
      <c r="AV67" s="136"/>
    </row>
    <row r="68" spans="1:39" ht="15.75" customHeight="1">
      <c r="A68" s="333"/>
      <c r="B68" s="333"/>
      <c r="C68" s="333"/>
      <c r="D68" s="333"/>
      <c r="E68" s="333"/>
      <c r="F68" s="333"/>
      <c r="G68" s="333"/>
      <c r="H68" s="333"/>
      <c r="I68" s="333"/>
      <c r="J68" s="383"/>
      <c r="K68" s="383"/>
      <c r="L68" s="390"/>
      <c r="M68" s="390"/>
      <c r="N68" s="385" t="s">
        <v>146</v>
      </c>
      <c r="O68" s="385"/>
      <c r="P68" s="385"/>
      <c r="Q68" s="385"/>
      <c r="R68" s="385"/>
      <c r="T68" s="177" t="s">
        <v>159</v>
      </c>
      <c r="U68" s="136"/>
      <c r="V68" s="136"/>
      <c r="W68" s="136"/>
      <c r="X68" s="136"/>
      <c r="Y68" s="136"/>
      <c r="Z68" s="136"/>
      <c r="AA68" s="386">
        <f>VLOOKUP($AV$41,DbCasi,Pot!$K$9+1)</f>
        <v>950</v>
      </c>
      <c r="AB68" s="386"/>
      <c r="AC68" s="176" t="s">
        <v>141</v>
      </c>
      <c r="AD68" s="137"/>
      <c r="AK68" s="337">
        <f>VLOOKUP($AV$41,DbCasi,Pot!$N$9+1)</f>
        <v>863.6363636363636</v>
      </c>
      <c r="AL68" s="337"/>
      <c r="AM68" s="130" t="s">
        <v>161</v>
      </c>
    </row>
    <row r="69" spans="14:44" ht="15.75" customHeight="1">
      <c r="N69" s="385"/>
      <c r="O69" s="385"/>
      <c r="P69" s="385"/>
      <c r="Q69" s="385"/>
      <c r="R69" s="385"/>
      <c r="T69" s="177" t="s">
        <v>160</v>
      </c>
      <c r="U69" s="136"/>
      <c r="V69" s="136"/>
      <c r="W69" s="136"/>
      <c r="X69" s="136"/>
      <c r="Y69" s="136"/>
      <c r="Z69" s="136"/>
      <c r="AA69" s="386">
        <f>VLOOKUP($AV$41,DbCasi,Pot!$L$9+1)</f>
        <v>2159.090909090909</v>
      </c>
      <c r="AB69" s="386"/>
      <c r="AC69" s="176" t="s">
        <v>141</v>
      </c>
      <c r="AD69" s="137"/>
      <c r="AG69" s="128" t="str">
        <f>TEXT(AK68,"#.##0")&amp;" kW x "&amp;TEXT(Testo!$J$74,"0,00")&amp;" Euro/kWh = "</f>
        <v>864 kW x 0,10 Euro/kWh = </v>
      </c>
      <c r="AP69" s="383">
        <f>ROUND(AK68*Testo!$J$74,0)</f>
        <v>86</v>
      </c>
      <c r="AQ69" s="383"/>
      <c r="AR69" s="130" t="s">
        <v>165</v>
      </c>
    </row>
    <row r="70" spans="20:31" ht="15.75" customHeight="1" thickBot="1">
      <c r="T70" s="139"/>
      <c r="U70" s="140"/>
      <c r="V70" s="140"/>
      <c r="W70" s="140"/>
      <c r="X70" s="140"/>
      <c r="Y70" s="140"/>
      <c r="Z70" s="140"/>
      <c r="AA70" s="140"/>
      <c r="AB70" s="140"/>
      <c r="AC70" s="140"/>
      <c r="AD70" s="141"/>
      <c r="AE70" s="128"/>
    </row>
    <row r="71" spans="20:31" ht="15.75" customHeight="1">
      <c r="T71" s="136"/>
      <c r="U71" s="136"/>
      <c r="V71" s="136"/>
      <c r="W71" s="136"/>
      <c r="X71" s="136"/>
      <c r="Y71" s="136"/>
      <c r="Z71" s="136"/>
      <c r="AA71" s="136"/>
      <c r="AB71" s="136"/>
      <c r="AC71" s="136"/>
      <c r="AD71" s="136"/>
      <c r="AE71" s="128"/>
    </row>
    <row r="72" spans="20:31" ht="15.75" customHeight="1">
      <c r="T72" s="136"/>
      <c r="U72" s="136"/>
      <c r="V72" s="136"/>
      <c r="W72" s="136"/>
      <c r="X72" s="136"/>
      <c r="Y72" s="136"/>
      <c r="Z72" s="136"/>
      <c r="AA72" s="136"/>
      <c r="AB72" s="136"/>
      <c r="AC72" s="136"/>
      <c r="AD72" s="136"/>
      <c r="AE72" s="128"/>
    </row>
    <row r="73" spans="1:46" ht="18" customHeight="1">
      <c r="A73" s="142"/>
      <c r="B73" s="186" t="s">
        <v>171</v>
      </c>
      <c r="C73" s="187"/>
      <c r="D73" s="187"/>
      <c r="E73" s="187"/>
      <c r="F73" s="187"/>
      <c r="G73" s="187"/>
      <c r="H73" s="187"/>
      <c r="I73" s="187"/>
      <c r="J73" s="187"/>
      <c r="K73" s="187"/>
      <c r="L73" s="187"/>
      <c r="M73" s="187"/>
      <c r="N73" s="187"/>
      <c r="O73" s="187"/>
      <c r="P73" s="187"/>
      <c r="Q73" s="187"/>
      <c r="R73" s="187"/>
      <c r="S73" s="187"/>
      <c r="T73" s="187"/>
      <c r="U73" s="187"/>
      <c r="V73" s="187"/>
      <c r="W73" s="187"/>
      <c r="X73" s="187"/>
      <c r="Y73" s="188"/>
      <c r="Z73" s="387" t="s">
        <v>168</v>
      </c>
      <c r="AA73" s="388"/>
      <c r="AB73" s="388"/>
      <c r="AC73" s="388"/>
      <c r="AD73" s="388"/>
      <c r="AE73" s="388"/>
      <c r="AF73" s="389"/>
      <c r="AG73" s="387" t="s">
        <v>169</v>
      </c>
      <c r="AH73" s="388"/>
      <c r="AI73" s="388"/>
      <c r="AJ73" s="388"/>
      <c r="AK73" s="388"/>
      <c r="AL73" s="388"/>
      <c r="AM73" s="389"/>
      <c r="AN73" s="400" t="s">
        <v>198</v>
      </c>
      <c r="AO73" s="401"/>
      <c r="AP73" s="401"/>
      <c r="AQ73" s="401"/>
      <c r="AR73" s="401"/>
      <c r="AS73" s="401"/>
      <c r="AT73" s="402"/>
    </row>
    <row r="74" spans="1:46" ht="18">
      <c r="A74" s="143"/>
      <c r="B74" s="191" t="str">
        <f>Eco!$B$11</f>
        <v> - ricavi da energia elettrica cogenerata vs. stabilimento</v>
      </c>
      <c r="C74" s="178"/>
      <c r="D74" s="179"/>
      <c r="E74" s="179"/>
      <c r="F74" s="179"/>
      <c r="G74" s="179"/>
      <c r="H74" s="179"/>
      <c r="I74" s="179"/>
      <c r="J74" s="179"/>
      <c r="K74" s="179"/>
      <c r="L74" s="179"/>
      <c r="M74" s="179"/>
      <c r="N74" s="179"/>
      <c r="O74" s="179"/>
      <c r="P74" s="179"/>
      <c r="Q74" s="179"/>
      <c r="R74" s="179"/>
      <c r="S74" s="179"/>
      <c r="T74" s="179"/>
      <c r="U74" s="179"/>
      <c r="V74" s="179"/>
      <c r="W74" s="179"/>
      <c r="X74" s="179"/>
      <c r="Y74" s="180"/>
      <c r="Z74" s="391">
        <f>AP69</f>
        <v>86</v>
      </c>
      <c r="AA74" s="392"/>
      <c r="AB74" s="392"/>
      <c r="AC74" s="392"/>
      <c r="AD74" s="392"/>
      <c r="AE74" s="189"/>
      <c r="AF74" s="190"/>
      <c r="AG74" s="391"/>
      <c r="AH74" s="392"/>
      <c r="AI74" s="392"/>
      <c r="AJ74" s="392"/>
      <c r="AK74" s="392"/>
      <c r="AL74" s="189"/>
      <c r="AM74" s="190"/>
      <c r="AN74" s="403"/>
      <c r="AO74" s="404"/>
      <c r="AP74" s="404"/>
      <c r="AQ74" s="404"/>
      <c r="AR74" s="404"/>
      <c r="AS74" s="404"/>
      <c r="AT74" s="405"/>
    </row>
    <row r="75" spans="1:46" ht="18">
      <c r="A75" s="143"/>
      <c r="B75" s="191" t="str">
        <f>Eco!$B$12</f>
        <v> - ricavi da energia elettrica esportata</v>
      </c>
      <c r="C75" s="179"/>
      <c r="D75" s="179"/>
      <c r="E75" s="179"/>
      <c r="F75" s="179"/>
      <c r="G75" s="179"/>
      <c r="H75" s="179"/>
      <c r="I75" s="179"/>
      <c r="J75" s="179"/>
      <c r="K75" s="179"/>
      <c r="L75" s="179"/>
      <c r="M75" s="179"/>
      <c r="N75" s="179"/>
      <c r="O75" s="179"/>
      <c r="P75" s="179"/>
      <c r="Q75" s="179"/>
      <c r="R75" s="179"/>
      <c r="S75" s="179"/>
      <c r="T75" s="179"/>
      <c r="U75" s="179"/>
      <c r="V75" s="179"/>
      <c r="W75" s="179"/>
      <c r="X75" s="179"/>
      <c r="Y75" s="180"/>
      <c r="Z75" s="391">
        <f>AP62</f>
        <v>0</v>
      </c>
      <c r="AA75" s="392"/>
      <c r="AB75" s="392"/>
      <c r="AC75" s="392"/>
      <c r="AD75" s="392"/>
      <c r="AE75" s="189"/>
      <c r="AF75" s="190"/>
      <c r="AG75" s="391"/>
      <c r="AH75" s="392"/>
      <c r="AI75" s="392"/>
      <c r="AJ75" s="392"/>
      <c r="AK75" s="392"/>
      <c r="AL75" s="189"/>
      <c r="AM75" s="190"/>
      <c r="AN75" s="403"/>
      <c r="AO75" s="404"/>
      <c r="AP75" s="404"/>
      <c r="AQ75" s="404"/>
      <c r="AR75" s="404"/>
      <c r="AS75" s="404"/>
      <c r="AT75" s="405"/>
    </row>
    <row r="76" spans="1:46" ht="18">
      <c r="A76" s="143"/>
      <c r="B76" s="191" t="str">
        <f>Eco!$B$13</f>
        <v> - ricavi da energia termica cogenerata</v>
      </c>
      <c r="C76" s="181"/>
      <c r="D76" s="181"/>
      <c r="E76" s="181"/>
      <c r="F76" s="182"/>
      <c r="G76" s="182"/>
      <c r="H76" s="182"/>
      <c r="I76" s="182"/>
      <c r="J76" s="182"/>
      <c r="K76" s="182"/>
      <c r="L76" s="182"/>
      <c r="M76" s="182"/>
      <c r="N76" s="182"/>
      <c r="O76" s="182"/>
      <c r="P76" s="182"/>
      <c r="Q76" s="182"/>
      <c r="R76" s="182"/>
      <c r="S76" s="182"/>
      <c r="T76" s="182"/>
      <c r="U76" s="182"/>
      <c r="V76" s="182"/>
      <c r="W76" s="182"/>
      <c r="X76" s="182"/>
      <c r="Y76" s="183"/>
      <c r="Z76" s="391">
        <f>AG58</f>
        <v>37.1</v>
      </c>
      <c r="AA76" s="392"/>
      <c r="AB76" s="392"/>
      <c r="AC76" s="392"/>
      <c r="AD76" s="392"/>
      <c r="AE76" s="189"/>
      <c r="AF76" s="190"/>
      <c r="AG76" s="391"/>
      <c r="AH76" s="392"/>
      <c r="AI76" s="392"/>
      <c r="AJ76" s="392"/>
      <c r="AK76" s="392"/>
      <c r="AL76" s="189"/>
      <c r="AM76" s="190"/>
      <c r="AN76" s="403"/>
      <c r="AO76" s="404"/>
      <c r="AP76" s="404"/>
      <c r="AQ76" s="404"/>
      <c r="AR76" s="404"/>
      <c r="AS76" s="404"/>
      <c r="AT76" s="405"/>
    </row>
    <row r="77" spans="1:46" ht="18">
      <c r="A77" s="143"/>
      <c r="B77" s="191" t="str">
        <f>Eco!$B$15</f>
        <v> - costo gas naturale per cogeneratore</v>
      </c>
      <c r="C77" s="181"/>
      <c r="D77" s="181"/>
      <c r="E77" s="181"/>
      <c r="F77" s="182"/>
      <c r="G77" s="182"/>
      <c r="H77" s="182"/>
      <c r="I77" s="182"/>
      <c r="J77" s="182"/>
      <c r="K77" s="182"/>
      <c r="L77" s="182"/>
      <c r="M77" s="182"/>
      <c r="N77" s="182"/>
      <c r="O77" s="182"/>
      <c r="P77" s="182"/>
      <c r="Q77" s="182"/>
      <c r="R77" s="182"/>
      <c r="S77" s="182"/>
      <c r="T77" s="182"/>
      <c r="U77" s="182"/>
      <c r="V77" s="182"/>
      <c r="W77" s="182"/>
      <c r="X77" s="182"/>
      <c r="Y77" s="183"/>
      <c r="Z77" s="391"/>
      <c r="AA77" s="392"/>
      <c r="AB77" s="392"/>
      <c r="AC77" s="392"/>
      <c r="AD77" s="392"/>
      <c r="AE77" s="189"/>
      <c r="AF77" s="190"/>
      <c r="AG77" s="391">
        <f>-J64</f>
        <v>-67.5</v>
      </c>
      <c r="AH77" s="392"/>
      <c r="AI77" s="392"/>
      <c r="AJ77" s="392"/>
      <c r="AK77" s="392"/>
      <c r="AL77" s="189"/>
      <c r="AM77" s="190"/>
      <c r="AN77" s="403"/>
      <c r="AO77" s="404"/>
      <c r="AP77" s="404"/>
      <c r="AQ77" s="404"/>
      <c r="AR77" s="404"/>
      <c r="AS77" s="404"/>
      <c r="AT77" s="405"/>
    </row>
    <row r="78" spans="1:46" ht="18">
      <c r="A78" s="128"/>
      <c r="B78" s="191" t="str">
        <f>Eco!$B$17</f>
        <v> - costo manutenzione cogeneratore</v>
      </c>
      <c r="C78" s="178"/>
      <c r="D78" s="178"/>
      <c r="E78" s="178"/>
      <c r="F78" s="178"/>
      <c r="G78" s="178"/>
      <c r="H78" s="178"/>
      <c r="I78" s="178"/>
      <c r="J78" s="178"/>
      <c r="K78" s="178"/>
      <c r="L78" s="178"/>
      <c r="M78" s="178"/>
      <c r="N78" s="178"/>
      <c r="O78" s="178"/>
      <c r="P78" s="178"/>
      <c r="Q78" s="178"/>
      <c r="R78" s="178"/>
      <c r="S78" s="178"/>
      <c r="T78" s="178"/>
      <c r="U78" s="178"/>
      <c r="V78" s="178"/>
      <c r="W78" s="178"/>
      <c r="X78" s="178"/>
      <c r="Y78" s="184"/>
      <c r="Z78" s="391"/>
      <c r="AA78" s="392"/>
      <c r="AB78" s="392"/>
      <c r="AC78" s="392"/>
      <c r="AD78" s="392"/>
      <c r="AE78" s="189"/>
      <c r="AF78" s="190"/>
      <c r="AG78" s="391">
        <f>-J67</f>
        <v>-9.5</v>
      </c>
      <c r="AH78" s="392"/>
      <c r="AI78" s="392"/>
      <c r="AJ78" s="392"/>
      <c r="AK78" s="392"/>
      <c r="AL78" s="189"/>
      <c r="AM78" s="190"/>
      <c r="AN78" s="406"/>
      <c r="AO78" s="407"/>
      <c r="AP78" s="407"/>
      <c r="AQ78" s="407"/>
      <c r="AR78" s="407"/>
      <c r="AS78" s="407"/>
      <c r="AT78" s="408"/>
    </row>
    <row r="79" spans="1:46" ht="15.75">
      <c r="A79" s="128"/>
      <c r="B79" s="185" t="s">
        <v>170</v>
      </c>
      <c r="C79" s="178"/>
      <c r="D79" s="178"/>
      <c r="E79" s="178"/>
      <c r="F79" s="178"/>
      <c r="G79" s="178"/>
      <c r="H79" s="178"/>
      <c r="I79" s="178"/>
      <c r="J79" s="178"/>
      <c r="K79" s="178"/>
      <c r="L79" s="178"/>
      <c r="M79" s="178"/>
      <c r="N79" s="178"/>
      <c r="O79" s="178"/>
      <c r="P79" s="178"/>
      <c r="Q79" s="178"/>
      <c r="R79" s="178"/>
      <c r="S79" s="178"/>
      <c r="T79" s="178"/>
      <c r="U79" s="178"/>
      <c r="V79" s="178"/>
      <c r="W79" s="178"/>
      <c r="X79" s="178"/>
      <c r="Y79" s="184"/>
      <c r="Z79" s="393">
        <f>SUM(Z74:AF78)</f>
        <v>123.1</v>
      </c>
      <c r="AA79" s="394"/>
      <c r="AB79" s="394"/>
      <c r="AC79" s="394"/>
      <c r="AD79" s="394"/>
      <c r="AE79" s="189"/>
      <c r="AF79" s="190"/>
      <c r="AG79" s="393">
        <f>SUM(AG74:AM78)</f>
        <v>-77</v>
      </c>
      <c r="AH79" s="394"/>
      <c r="AI79" s="394"/>
      <c r="AJ79" s="394"/>
      <c r="AK79" s="394"/>
      <c r="AL79" s="189"/>
      <c r="AM79" s="190"/>
      <c r="AN79" s="397">
        <f>+Z79+AG79</f>
        <v>46.099999999999994</v>
      </c>
      <c r="AO79" s="398"/>
      <c r="AP79" s="398"/>
      <c r="AQ79" s="398"/>
      <c r="AR79" s="398"/>
      <c r="AS79" s="398"/>
      <c r="AT79" s="399"/>
    </row>
    <row r="80" spans="1:40" ht="18">
      <c r="A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9" ht="19.5" customHeight="1">
      <c r="A81" s="332" t="s">
        <v>220</v>
      </c>
      <c r="B81" s="332"/>
      <c r="C81" s="332"/>
      <c r="D81" s="332"/>
      <c r="E81" s="332"/>
      <c r="F81" s="332"/>
      <c r="G81" s="332"/>
      <c r="H81" s="332"/>
      <c r="I81" s="332"/>
      <c r="J81" s="332"/>
      <c r="K81" s="332"/>
      <c r="L81" s="332"/>
      <c r="M81" s="332"/>
      <c r="N81" s="332"/>
      <c r="O81" s="332"/>
      <c r="P81" s="332"/>
      <c r="Q81" s="332"/>
      <c r="R81" s="332"/>
      <c r="S81" s="332"/>
      <c r="T81" s="332"/>
      <c r="U81" s="332"/>
      <c r="V81" s="332"/>
      <c r="W81" s="332"/>
      <c r="X81" s="332"/>
      <c r="Y81" s="332"/>
      <c r="Z81" s="332"/>
      <c r="AA81" s="332"/>
      <c r="AB81" s="332"/>
      <c r="AC81" s="332"/>
      <c r="AD81" s="332"/>
      <c r="AE81" s="332"/>
      <c r="AF81" s="332"/>
      <c r="AG81" s="332"/>
      <c r="AH81" s="332"/>
      <c r="AI81" s="332"/>
      <c r="AJ81" s="332"/>
      <c r="AK81" s="332"/>
      <c r="AL81" s="332"/>
      <c r="AM81" s="332"/>
      <c r="AN81" s="332"/>
      <c r="AO81" s="332"/>
      <c r="AP81" s="332"/>
      <c r="AQ81" s="332"/>
      <c r="AR81" s="332"/>
      <c r="AS81" s="332"/>
      <c r="AT81" s="332"/>
      <c r="AU81" s="332"/>
      <c r="AV81" s="236">
        <f>AV41+1</f>
        <v>9</v>
      </c>
      <c r="AW81" s="171" t="s">
        <v>187</v>
      </c>
    </row>
    <row r="82" spans="1:58" ht="19.5" customHeight="1">
      <c r="A82" s="332" t="str">
        <f>"CONDIZIONE DI FUNZIONAMENTO "&amp;AV82&amp;AW82&amp;IF(AX82&gt;0," (Lo stesso schema vale anche per la condizione "&amp;AX82&amp;")","")</f>
        <v>CONDIZIONE DI FUNZIONAMENTO 6C (Lo stesso schema vale anche per la condizione 8)</v>
      </c>
      <c r="B82" s="332"/>
      <c r="C82" s="332"/>
      <c r="D82" s="332"/>
      <c r="E82" s="332"/>
      <c r="F82" s="332"/>
      <c r="G82" s="332"/>
      <c r="H82" s="332"/>
      <c r="I82" s="332"/>
      <c r="J82" s="332"/>
      <c r="K82" s="332"/>
      <c r="L82" s="332"/>
      <c r="M82" s="332"/>
      <c r="N82" s="332"/>
      <c r="O82" s="332"/>
      <c r="P82" s="332"/>
      <c r="Q82" s="332"/>
      <c r="R82" s="332"/>
      <c r="S82" s="332"/>
      <c r="T82" s="332"/>
      <c r="U82" s="332"/>
      <c r="V82" s="332"/>
      <c r="W82" s="332"/>
      <c r="X82" s="332"/>
      <c r="Y82" s="332"/>
      <c r="Z82" s="332"/>
      <c r="AA82" s="332"/>
      <c r="AB82" s="332"/>
      <c r="AC82" s="332"/>
      <c r="AD82" s="332"/>
      <c r="AE82" s="332"/>
      <c r="AF82" s="332"/>
      <c r="AG82" s="332"/>
      <c r="AH82" s="332"/>
      <c r="AI82" s="332"/>
      <c r="AJ82" s="332"/>
      <c r="AK82" s="332"/>
      <c r="AL82" s="332"/>
      <c r="AM82" s="332"/>
      <c r="AN82" s="332"/>
      <c r="AO82" s="332"/>
      <c r="AP82" s="332"/>
      <c r="AQ82" s="332"/>
      <c r="AR82" s="332"/>
      <c r="AS82" s="332"/>
      <c r="AT82" s="332"/>
      <c r="AU82" s="332"/>
      <c r="AV82" s="244">
        <f>VLOOKUP($AV81,DbCasi,Pot!$B$39)</f>
        <v>6</v>
      </c>
      <c r="AW82" s="242" t="str">
        <f>IF(VLOOKUP($AV81,DbCasi,Pot!$C$39)&lt;&gt;0,VLOOKUP($AV81,DbCasi,Pot!$C$39),"")</f>
        <v>C</v>
      </c>
      <c r="AX82" s="237">
        <f>VLOOKUP($AV81,DbCasi,Pot!$D$39)</f>
        <v>8</v>
      </c>
      <c r="AY82" s="238" t="s">
        <v>226</v>
      </c>
      <c r="AZ82" s="239"/>
      <c r="BA82" s="239"/>
      <c r="BB82" s="239"/>
      <c r="BC82" s="239"/>
      <c r="BD82" s="239"/>
      <c r="BE82" s="239"/>
      <c r="BF82" s="240"/>
    </row>
    <row r="83" spans="1:47" ht="1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row>
    <row r="84" spans="1:51" ht="19.5" customHeight="1">
      <c r="A84" s="334" t="str">
        <f>"Regolazione : "&amp;AY84&amp;IF(AV84=4,"","  -  Carico del motore : "&amp;TEXT(AW84*100,"00,0")&amp;"%")</f>
        <v>Regolazione : Motore a carico massimo</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34"/>
      <c r="AV84" s="229">
        <f>VLOOKUP($AV81,DbCasi,Pot!$H$9+1)</f>
        <v>4</v>
      </c>
      <c r="AW84" s="230">
        <f>VLOOKUP($AV81,DbCasi,Pot!$I$9+1)</f>
        <v>1</v>
      </c>
      <c r="AY84" s="127" t="str">
        <f>CHOOSE(AV84,"Carico Elettrico Comanda","Carico Termico Comanda","","Motore a carico massimo","Motore a carico minimo")</f>
        <v>Motore a carico massimo</v>
      </c>
    </row>
    <row r="85" spans="1:47" ht="19.5" customHeight="1">
      <c r="A85" s="331" t="s">
        <v>258</v>
      </c>
      <c r="B85" s="331"/>
      <c r="C85" s="331"/>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1"/>
      <c r="AJ85" s="331"/>
      <c r="AK85" s="331"/>
      <c r="AL85" s="331"/>
      <c r="AM85" s="331"/>
      <c r="AN85" s="331"/>
      <c r="AO85" s="331"/>
      <c r="AP85" s="331"/>
      <c r="AQ85" s="331"/>
      <c r="AR85" s="331"/>
      <c r="AS85" s="331"/>
      <c r="AT85" s="331"/>
      <c r="AU85" s="331"/>
    </row>
    <row r="86" spans="1:47" ht="1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row>
    <row r="87" spans="1:47" ht="19.5" customHeight="1" hidden="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row>
    <row r="88" spans="1:47" ht="19.5" customHeight="1" hidden="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row>
    <row r="89" spans="1:47" ht="19.5" customHeight="1" hidden="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row>
    <row r="90" spans="1:47" ht="19.5" customHeight="1" hidden="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row>
    <row r="91" ht="19.5" customHeight="1"/>
    <row r="92" spans="1:47" ht="15.75">
      <c r="A92" s="333"/>
      <c r="B92" s="333"/>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3"/>
      <c r="AC92" s="333"/>
      <c r="AD92" s="333"/>
      <c r="AE92" s="333"/>
      <c r="AF92" s="333"/>
      <c r="AG92" s="333"/>
      <c r="AH92" s="333"/>
      <c r="AI92" s="333"/>
      <c r="AJ92" s="333"/>
      <c r="AK92" s="333"/>
      <c r="AL92" s="333"/>
      <c r="AM92" s="333"/>
      <c r="AN92" s="333"/>
      <c r="AO92" s="333"/>
      <c r="AP92" s="333"/>
      <c r="AQ92" s="333"/>
      <c r="AR92" s="333"/>
      <c r="AS92" s="333"/>
      <c r="AT92" s="333"/>
      <c r="AU92" s="333"/>
    </row>
    <row r="93" ht="15.75">
      <c r="A93" s="128"/>
    </row>
    <row r="94" ht="15.75">
      <c r="A94" s="128"/>
    </row>
    <row r="95" ht="12.75" customHeight="1"/>
    <row r="96" spans="15:26" ht="18">
      <c r="O96" s="170" t="s">
        <v>157</v>
      </c>
      <c r="W96" s="169" t="s">
        <v>156</v>
      </c>
      <c r="X96" s="129"/>
      <c r="Y96" s="129"/>
      <c r="Z96" s="129"/>
    </row>
    <row r="97" spans="9:29" ht="15.75">
      <c r="I97" s="337">
        <f>VLOOKUP($AV$81,DbCasi,Pot!$T$9+1)</f>
        <v>150</v>
      </c>
      <c r="J97" s="337"/>
      <c r="K97" s="138" t="s">
        <v>161</v>
      </c>
      <c r="AA97" s="337">
        <f>VLOOKUP($AV$81,DbCasi,Pot!$Q$9+1)</f>
        <v>950</v>
      </c>
      <c r="AB97" s="337"/>
      <c r="AC97" s="130" t="s">
        <v>161</v>
      </c>
    </row>
    <row r="98" spans="23:35" ht="12.75" customHeight="1">
      <c r="W98" s="128" t="str">
        <f>TEXT(AA97,"#.##0")&amp;" kW x "&amp;Testo!$J$77&amp;" Euro/kWh = "</f>
        <v>950 kW x 0,039 Euro/kWh = </v>
      </c>
      <c r="AG98" s="383">
        <f>ROUND(AA97*Testo!$J$77,1)</f>
        <v>37.1</v>
      </c>
      <c r="AH98" s="383"/>
      <c r="AI98" s="130" t="s">
        <v>165</v>
      </c>
    </row>
    <row r="99" ht="15.75" customHeight="1"/>
    <row r="100" ht="18">
      <c r="AG100" s="134" t="s">
        <v>162</v>
      </c>
    </row>
    <row r="101" spans="37:39" ht="12.75" customHeight="1" thickBot="1">
      <c r="AK101" s="337">
        <f>VLOOKUP($AV$81,DbCasi,Pot!$P$9+1)</f>
        <v>100</v>
      </c>
      <c r="AL101" s="337"/>
      <c r="AM101" s="130" t="s">
        <v>161</v>
      </c>
    </row>
    <row r="102" spans="14:48" ht="15" customHeight="1">
      <c r="N102" s="384" t="s">
        <v>144</v>
      </c>
      <c r="O102" s="384"/>
      <c r="P102" s="384"/>
      <c r="Q102" s="384"/>
      <c r="R102" s="384"/>
      <c r="T102" s="131"/>
      <c r="U102" s="132"/>
      <c r="V102" s="132"/>
      <c r="W102" s="132"/>
      <c r="X102" s="132"/>
      <c r="Y102" s="132"/>
      <c r="Z102" s="132"/>
      <c r="AA102" s="132"/>
      <c r="AB102" s="132"/>
      <c r="AC102" s="132"/>
      <c r="AD102" s="133"/>
      <c r="AE102" s="134"/>
      <c r="AG102" s="128" t="str">
        <f>TEXT(AK101,"#.##0")&amp;" kW x "&amp;TEXT(Testo!$J$75,"0,00")&amp;" Euro/kWh = "</f>
        <v>100 kW x 0,07 Euro/kWh = </v>
      </c>
      <c r="AP102" s="383">
        <f>ROUND(AK101*Testo!$J$75,1)</f>
        <v>7</v>
      </c>
      <c r="AQ102" s="383"/>
      <c r="AR102" s="130" t="s">
        <v>165</v>
      </c>
      <c r="AV102" s="136"/>
    </row>
    <row r="103" spans="1:48" ht="15.75" customHeight="1">
      <c r="A103" s="130" t="str">
        <f>TEXT(AA109,"#.##0")&amp;"kW / "&amp;Testo!$J$10&amp;" kWh/Sm3 = "</f>
        <v>2.500kW / 9,59 kWh/Sm3 = </v>
      </c>
      <c r="B103" s="130"/>
      <c r="C103" s="130"/>
      <c r="D103" s="130"/>
      <c r="E103" s="130"/>
      <c r="F103" s="130"/>
      <c r="G103" s="130"/>
      <c r="H103" s="130"/>
      <c r="I103" s="130"/>
      <c r="J103" s="333">
        <f>AA109/Testo!$J$10</f>
        <v>260.6882168925965</v>
      </c>
      <c r="K103" s="333"/>
      <c r="L103" s="130" t="s">
        <v>164</v>
      </c>
      <c r="N103" s="384"/>
      <c r="O103" s="384"/>
      <c r="P103" s="384"/>
      <c r="Q103" s="384"/>
      <c r="R103" s="384"/>
      <c r="T103" s="135"/>
      <c r="U103" s="335" t="s">
        <v>145</v>
      </c>
      <c r="V103" s="336"/>
      <c r="W103" s="336"/>
      <c r="X103" s="336"/>
      <c r="Y103" s="336"/>
      <c r="Z103" s="336"/>
      <c r="AA103" s="336"/>
      <c r="AB103" s="336"/>
      <c r="AC103" s="336"/>
      <c r="AD103" s="137"/>
      <c r="AV103" s="136"/>
    </row>
    <row r="104" spans="1:48" ht="15.75" customHeight="1">
      <c r="A104" s="130" t="str">
        <f>TEXT(J103,"000")&amp;"Sm3/h x "&amp;Testo!$J$15&amp;" Euro/Sm3 = "</f>
        <v>261Sm3/h x 0,3 Euro/Sm3 = </v>
      </c>
      <c r="B104" s="138"/>
      <c r="C104" s="138"/>
      <c r="D104" s="138"/>
      <c r="E104" s="138"/>
      <c r="F104" s="138"/>
      <c r="G104" s="138"/>
      <c r="H104" s="138"/>
      <c r="I104" s="138"/>
      <c r="J104" s="333">
        <f>ROUND(J103*Testo!$J$15,1)</f>
        <v>78.2</v>
      </c>
      <c r="K104" s="333"/>
      <c r="L104" s="130" t="s">
        <v>165</v>
      </c>
      <c r="T104" s="135"/>
      <c r="U104" s="336"/>
      <c r="V104" s="336"/>
      <c r="W104" s="336"/>
      <c r="X104" s="336"/>
      <c r="Y104" s="336"/>
      <c r="Z104" s="336"/>
      <c r="AA104" s="336"/>
      <c r="AB104" s="336"/>
      <c r="AC104" s="336"/>
      <c r="AD104" s="137"/>
      <c r="AV104" s="136"/>
    </row>
    <row r="105" spans="1:48" ht="12.75" customHeight="1">
      <c r="A105" s="138"/>
      <c r="B105" s="138"/>
      <c r="C105" s="138"/>
      <c r="D105" s="138"/>
      <c r="E105" s="138"/>
      <c r="F105" s="138"/>
      <c r="G105" s="138"/>
      <c r="H105" s="138"/>
      <c r="I105" s="138"/>
      <c r="J105" s="138"/>
      <c r="K105" s="138"/>
      <c r="L105" s="138"/>
      <c r="T105" s="135"/>
      <c r="U105" s="336"/>
      <c r="V105" s="336"/>
      <c r="W105" s="336"/>
      <c r="X105" s="336"/>
      <c r="Y105" s="336"/>
      <c r="Z105" s="336"/>
      <c r="AA105" s="336"/>
      <c r="AB105" s="336"/>
      <c r="AC105" s="336"/>
      <c r="AD105" s="137"/>
      <c r="AV105" s="136"/>
    </row>
    <row r="106" spans="20:48" ht="12.75">
      <c r="T106" s="135"/>
      <c r="U106" s="336"/>
      <c r="V106" s="336"/>
      <c r="W106" s="336"/>
      <c r="X106" s="336"/>
      <c r="Y106" s="336"/>
      <c r="Z106" s="336"/>
      <c r="AA106" s="336"/>
      <c r="AB106" s="336"/>
      <c r="AC106" s="336"/>
      <c r="AD106" s="137"/>
      <c r="AV106" s="136"/>
    </row>
    <row r="107" spans="1:48" ht="15.75" customHeight="1">
      <c r="A107" s="333" t="str">
        <f>TEXT(AA107,"#.##0")&amp;" kW x "&amp;Testo!$J$17&amp;" Euro/kWh = "</f>
        <v>1.000 kW x 0,011 Euro/kWh = </v>
      </c>
      <c r="B107" s="333"/>
      <c r="C107" s="333"/>
      <c r="D107" s="333"/>
      <c r="E107" s="333"/>
      <c r="F107" s="333"/>
      <c r="G107" s="333"/>
      <c r="H107" s="333"/>
      <c r="I107" s="333"/>
      <c r="J107" s="383">
        <f>ROUND(AA107*Testo!$J$17,1)</f>
        <v>11</v>
      </c>
      <c r="K107" s="383"/>
      <c r="L107" s="390" t="s">
        <v>165</v>
      </c>
      <c r="M107" s="390"/>
      <c r="T107" s="177" t="s">
        <v>158</v>
      </c>
      <c r="U107" s="136"/>
      <c r="V107" s="136"/>
      <c r="W107" s="136"/>
      <c r="X107" s="136"/>
      <c r="Y107" s="136"/>
      <c r="Z107" s="136"/>
      <c r="AA107" s="386">
        <f>VLOOKUP($AV$81,DbCasi,Pot!$J$9+1)</f>
        <v>1000</v>
      </c>
      <c r="AB107" s="386"/>
      <c r="AC107" s="176" t="s">
        <v>141</v>
      </c>
      <c r="AD107" s="137"/>
      <c r="AG107" s="134" t="s">
        <v>163</v>
      </c>
      <c r="AV107" s="136"/>
    </row>
    <row r="108" spans="1:39" ht="15.75" customHeight="1">
      <c r="A108" s="333"/>
      <c r="B108" s="333"/>
      <c r="C108" s="333"/>
      <c r="D108" s="333"/>
      <c r="E108" s="333"/>
      <c r="F108" s="333"/>
      <c r="G108" s="333"/>
      <c r="H108" s="333"/>
      <c r="I108" s="333"/>
      <c r="J108" s="383"/>
      <c r="K108" s="383"/>
      <c r="L108" s="390"/>
      <c r="M108" s="390"/>
      <c r="N108" s="385" t="s">
        <v>146</v>
      </c>
      <c r="O108" s="385"/>
      <c r="P108" s="385"/>
      <c r="Q108" s="385"/>
      <c r="R108" s="385"/>
      <c r="T108" s="177" t="s">
        <v>159</v>
      </c>
      <c r="U108" s="136"/>
      <c r="V108" s="136"/>
      <c r="W108" s="136"/>
      <c r="X108" s="136"/>
      <c r="Y108" s="136"/>
      <c r="Z108" s="136"/>
      <c r="AA108" s="386">
        <f>VLOOKUP($AV$81,DbCasi,Pot!$K$9+1)</f>
        <v>1100</v>
      </c>
      <c r="AB108" s="386"/>
      <c r="AC108" s="176" t="s">
        <v>141</v>
      </c>
      <c r="AD108" s="137"/>
      <c r="AK108" s="337">
        <f>VLOOKUP($AV$81,DbCasi,Pot!$N$9+1)</f>
        <v>900</v>
      </c>
      <c r="AL108" s="337"/>
      <c r="AM108" s="130" t="s">
        <v>161</v>
      </c>
    </row>
    <row r="109" spans="14:44" ht="15.75" customHeight="1">
      <c r="N109" s="385"/>
      <c r="O109" s="385"/>
      <c r="P109" s="385"/>
      <c r="Q109" s="385"/>
      <c r="R109" s="385"/>
      <c r="T109" s="177" t="s">
        <v>160</v>
      </c>
      <c r="U109" s="136"/>
      <c r="V109" s="136"/>
      <c r="W109" s="136"/>
      <c r="X109" s="136"/>
      <c r="Y109" s="136"/>
      <c r="Z109" s="136"/>
      <c r="AA109" s="386">
        <f>VLOOKUP($AV$81,DbCasi,Pot!$L$9+1)</f>
        <v>2500</v>
      </c>
      <c r="AB109" s="386"/>
      <c r="AC109" s="176" t="s">
        <v>141</v>
      </c>
      <c r="AD109" s="137"/>
      <c r="AG109" s="128" t="str">
        <f>TEXT(AK108,"#.##0")&amp;" kW x "&amp;TEXT(Testo!$J$74,"0,00")&amp;" Euro/kWh = "</f>
        <v>900 kW x 0,10 Euro/kWh = </v>
      </c>
      <c r="AP109" s="383">
        <f>ROUND(AK108*Testo!$J$74,0)</f>
        <v>90</v>
      </c>
      <c r="AQ109" s="383"/>
      <c r="AR109" s="130" t="s">
        <v>165</v>
      </c>
    </row>
    <row r="110" spans="20:31" ht="15.75" customHeight="1" thickBot="1">
      <c r="T110" s="139"/>
      <c r="U110" s="140"/>
      <c r="V110" s="140"/>
      <c r="W110" s="140"/>
      <c r="X110" s="140"/>
      <c r="Y110" s="140"/>
      <c r="Z110" s="140"/>
      <c r="AA110" s="140"/>
      <c r="AB110" s="140"/>
      <c r="AC110" s="140"/>
      <c r="AD110" s="141"/>
      <c r="AE110" s="128"/>
    </row>
    <row r="111" spans="20:31" ht="15.75" customHeight="1">
      <c r="T111" s="136"/>
      <c r="U111" s="136"/>
      <c r="V111" s="136"/>
      <c r="W111" s="136"/>
      <c r="X111" s="136"/>
      <c r="Y111" s="136"/>
      <c r="Z111" s="136"/>
      <c r="AA111" s="136"/>
      <c r="AB111" s="136"/>
      <c r="AC111" s="136"/>
      <c r="AD111" s="136"/>
      <c r="AE111" s="128"/>
    </row>
    <row r="112" spans="20:31" ht="15.75" customHeight="1">
      <c r="T112" s="136"/>
      <c r="U112" s="136"/>
      <c r="V112" s="136"/>
      <c r="W112" s="136"/>
      <c r="X112" s="136"/>
      <c r="Y112" s="136"/>
      <c r="Z112" s="136"/>
      <c r="AA112" s="136"/>
      <c r="AB112" s="136"/>
      <c r="AC112" s="136"/>
      <c r="AD112" s="136"/>
      <c r="AE112" s="128"/>
    </row>
    <row r="113" spans="1:46" ht="18" customHeight="1">
      <c r="A113" s="142"/>
      <c r="B113" s="186" t="s">
        <v>171</v>
      </c>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8"/>
      <c r="Z113" s="387" t="s">
        <v>168</v>
      </c>
      <c r="AA113" s="388"/>
      <c r="AB113" s="388"/>
      <c r="AC113" s="388"/>
      <c r="AD113" s="388"/>
      <c r="AE113" s="388"/>
      <c r="AF113" s="389"/>
      <c r="AG113" s="387" t="s">
        <v>169</v>
      </c>
      <c r="AH113" s="388"/>
      <c r="AI113" s="388"/>
      <c r="AJ113" s="388"/>
      <c r="AK113" s="388"/>
      <c r="AL113" s="388"/>
      <c r="AM113" s="389"/>
      <c r="AN113" s="400" t="s">
        <v>198</v>
      </c>
      <c r="AO113" s="401"/>
      <c r="AP113" s="401"/>
      <c r="AQ113" s="401"/>
      <c r="AR113" s="401"/>
      <c r="AS113" s="401"/>
      <c r="AT113" s="402"/>
    </row>
    <row r="114" spans="1:46" ht="18">
      <c r="A114" s="143"/>
      <c r="B114" s="191" t="str">
        <f>Eco!$B$11</f>
        <v> - ricavi da energia elettrica cogenerata vs. stabilimento</v>
      </c>
      <c r="C114" s="178"/>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80"/>
      <c r="Z114" s="391">
        <f>AP109</f>
        <v>90</v>
      </c>
      <c r="AA114" s="392"/>
      <c r="AB114" s="392"/>
      <c r="AC114" s="392"/>
      <c r="AD114" s="392"/>
      <c r="AE114" s="189"/>
      <c r="AF114" s="190"/>
      <c r="AG114" s="391"/>
      <c r="AH114" s="392"/>
      <c r="AI114" s="392"/>
      <c r="AJ114" s="392"/>
      <c r="AK114" s="392"/>
      <c r="AL114" s="189"/>
      <c r="AM114" s="190"/>
      <c r="AN114" s="403"/>
      <c r="AO114" s="404"/>
      <c r="AP114" s="404"/>
      <c r="AQ114" s="404"/>
      <c r="AR114" s="404"/>
      <c r="AS114" s="404"/>
      <c r="AT114" s="405"/>
    </row>
    <row r="115" spans="1:46" ht="18">
      <c r="A115" s="143"/>
      <c r="B115" s="191" t="str">
        <f>Eco!$B$12</f>
        <v> - ricavi da energia elettrica esportata</v>
      </c>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80"/>
      <c r="Z115" s="391">
        <f>AP102</f>
        <v>7</v>
      </c>
      <c r="AA115" s="392"/>
      <c r="AB115" s="392"/>
      <c r="AC115" s="392"/>
      <c r="AD115" s="392"/>
      <c r="AE115" s="189"/>
      <c r="AF115" s="190"/>
      <c r="AG115" s="391"/>
      <c r="AH115" s="392"/>
      <c r="AI115" s="392"/>
      <c r="AJ115" s="392"/>
      <c r="AK115" s="392"/>
      <c r="AL115" s="189"/>
      <c r="AM115" s="190"/>
      <c r="AN115" s="403"/>
      <c r="AO115" s="404"/>
      <c r="AP115" s="404"/>
      <c r="AQ115" s="404"/>
      <c r="AR115" s="404"/>
      <c r="AS115" s="404"/>
      <c r="AT115" s="405"/>
    </row>
    <row r="116" spans="1:46" ht="18">
      <c r="A116" s="143"/>
      <c r="B116" s="191" t="str">
        <f>Eco!$B$13</f>
        <v> - ricavi da energia termica cogenerata</v>
      </c>
      <c r="C116" s="181"/>
      <c r="D116" s="181"/>
      <c r="E116" s="181"/>
      <c r="F116" s="182"/>
      <c r="G116" s="182"/>
      <c r="H116" s="182"/>
      <c r="I116" s="182"/>
      <c r="J116" s="182"/>
      <c r="K116" s="182"/>
      <c r="L116" s="182"/>
      <c r="M116" s="182"/>
      <c r="N116" s="182"/>
      <c r="O116" s="182"/>
      <c r="P116" s="182"/>
      <c r="Q116" s="182"/>
      <c r="R116" s="182"/>
      <c r="S116" s="182"/>
      <c r="T116" s="182"/>
      <c r="U116" s="182"/>
      <c r="V116" s="182"/>
      <c r="W116" s="182"/>
      <c r="X116" s="182"/>
      <c r="Y116" s="183"/>
      <c r="Z116" s="391">
        <f>AG98</f>
        <v>37.1</v>
      </c>
      <c r="AA116" s="392"/>
      <c r="AB116" s="392"/>
      <c r="AC116" s="392"/>
      <c r="AD116" s="392"/>
      <c r="AE116" s="189"/>
      <c r="AF116" s="190"/>
      <c r="AG116" s="391"/>
      <c r="AH116" s="392"/>
      <c r="AI116" s="392"/>
      <c r="AJ116" s="392"/>
      <c r="AK116" s="392"/>
      <c r="AL116" s="189"/>
      <c r="AM116" s="190"/>
      <c r="AN116" s="403"/>
      <c r="AO116" s="404"/>
      <c r="AP116" s="404"/>
      <c r="AQ116" s="404"/>
      <c r="AR116" s="404"/>
      <c r="AS116" s="404"/>
      <c r="AT116" s="405"/>
    </row>
    <row r="117" spans="1:46" ht="18">
      <c r="A117" s="143"/>
      <c r="B117" s="191" t="str">
        <f>Eco!$B$15</f>
        <v> - costo gas naturale per cogeneratore</v>
      </c>
      <c r="C117" s="181"/>
      <c r="D117" s="181"/>
      <c r="E117" s="181"/>
      <c r="F117" s="182"/>
      <c r="G117" s="182"/>
      <c r="H117" s="182"/>
      <c r="I117" s="182"/>
      <c r="J117" s="182"/>
      <c r="K117" s="182"/>
      <c r="L117" s="182"/>
      <c r="M117" s="182"/>
      <c r="N117" s="182"/>
      <c r="O117" s="182"/>
      <c r="P117" s="182"/>
      <c r="Q117" s="182"/>
      <c r="R117" s="182"/>
      <c r="S117" s="182"/>
      <c r="T117" s="182"/>
      <c r="U117" s="182"/>
      <c r="V117" s="182"/>
      <c r="W117" s="182"/>
      <c r="X117" s="182"/>
      <c r="Y117" s="183"/>
      <c r="Z117" s="391"/>
      <c r="AA117" s="392"/>
      <c r="AB117" s="392"/>
      <c r="AC117" s="392"/>
      <c r="AD117" s="392"/>
      <c r="AE117" s="189"/>
      <c r="AF117" s="190"/>
      <c r="AG117" s="391">
        <f>-J104</f>
        <v>-78.2</v>
      </c>
      <c r="AH117" s="392"/>
      <c r="AI117" s="392"/>
      <c r="AJ117" s="392"/>
      <c r="AK117" s="392"/>
      <c r="AL117" s="189"/>
      <c r="AM117" s="190"/>
      <c r="AN117" s="403"/>
      <c r="AO117" s="404"/>
      <c r="AP117" s="404"/>
      <c r="AQ117" s="404"/>
      <c r="AR117" s="404"/>
      <c r="AS117" s="404"/>
      <c r="AT117" s="405"/>
    </row>
    <row r="118" spans="1:46" ht="18">
      <c r="A118" s="128"/>
      <c r="B118" s="191" t="str">
        <f>Eco!$B$17</f>
        <v> - costo manutenzione cogeneratore</v>
      </c>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84"/>
      <c r="Z118" s="391"/>
      <c r="AA118" s="392"/>
      <c r="AB118" s="392"/>
      <c r="AC118" s="392"/>
      <c r="AD118" s="392"/>
      <c r="AE118" s="189"/>
      <c r="AF118" s="190"/>
      <c r="AG118" s="391">
        <f>-J107</f>
        <v>-11</v>
      </c>
      <c r="AH118" s="392"/>
      <c r="AI118" s="392"/>
      <c r="AJ118" s="392"/>
      <c r="AK118" s="392"/>
      <c r="AL118" s="189"/>
      <c r="AM118" s="190"/>
      <c r="AN118" s="406"/>
      <c r="AO118" s="407"/>
      <c r="AP118" s="407"/>
      <c r="AQ118" s="407"/>
      <c r="AR118" s="407"/>
      <c r="AS118" s="407"/>
      <c r="AT118" s="408"/>
    </row>
    <row r="119" spans="1:46" ht="15.75">
      <c r="A119" s="128"/>
      <c r="B119" s="185" t="s">
        <v>170</v>
      </c>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84"/>
      <c r="Z119" s="393">
        <f>SUM(Z114:AF118)</f>
        <v>134.1</v>
      </c>
      <c r="AA119" s="394"/>
      <c r="AB119" s="394"/>
      <c r="AC119" s="394"/>
      <c r="AD119" s="394"/>
      <c r="AE119" s="189"/>
      <c r="AF119" s="190"/>
      <c r="AG119" s="393">
        <f>SUM(AG114:AM118)</f>
        <v>-89.2</v>
      </c>
      <c r="AH119" s="394"/>
      <c r="AI119" s="394"/>
      <c r="AJ119" s="394"/>
      <c r="AK119" s="394"/>
      <c r="AL119" s="189"/>
      <c r="AM119" s="190"/>
      <c r="AN119" s="397">
        <f>+Z119+AG119</f>
        <v>44.89999999999999</v>
      </c>
      <c r="AO119" s="398"/>
      <c r="AP119" s="398"/>
      <c r="AQ119" s="398"/>
      <c r="AR119" s="398"/>
      <c r="AS119" s="398"/>
      <c r="AT119" s="399"/>
    </row>
    <row r="120" spans="1:40" ht="18">
      <c r="A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sheetData>
  <mergeCells count="117">
    <mergeCell ref="A2:AU2"/>
    <mergeCell ref="A1:AU1"/>
    <mergeCell ref="J23:K23"/>
    <mergeCell ref="AP29:AQ29"/>
    <mergeCell ref="AP22:AQ22"/>
    <mergeCell ref="A12:AU12"/>
    <mergeCell ref="U23:AC26"/>
    <mergeCell ref="AA27:AB27"/>
    <mergeCell ref="AA28:AB28"/>
    <mergeCell ref="A27:I28"/>
    <mergeCell ref="AA17:AB17"/>
    <mergeCell ref="I17:J17"/>
    <mergeCell ref="AK21:AL21"/>
    <mergeCell ref="AK28:AL28"/>
    <mergeCell ref="AG18:AH18"/>
    <mergeCell ref="N22:R23"/>
    <mergeCell ref="N28:R29"/>
    <mergeCell ref="J27:K28"/>
    <mergeCell ref="AA29:AB29"/>
    <mergeCell ref="J24:K24"/>
    <mergeCell ref="L27:M28"/>
    <mergeCell ref="Z33:AF33"/>
    <mergeCell ref="AG33:AM33"/>
    <mergeCell ref="Z39:AD39"/>
    <mergeCell ref="AG34:AK34"/>
    <mergeCell ref="AG35:AK35"/>
    <mergeCell ref="AG36:AK36"/>
    <mergeCell ref="AG38:AK38"/>
    <mergeCell ref="AG39:AK39"/>
    <mergeCell ref="AG37:AK37"/>
    <mergeCell ref="AK68:AL68"/>
    <mergeCell ref="AG58:AH58"/>
    <mergeCell ref="AK61:AL61"/>
    <mergeCell ref="AA57:AB57"/>
    <mergeCell ref="AP69:AQ69"/>
    <mergeCell ref="Z73:AF73"/>
    <mergeCell ref="AG73:AM73"/>
    <mergeCell ref="AG76:AK76"/>
    <mergeCell ref="J104:K104"/>
    <mergeCell ref="Z76:AD76"/>
    <mergeCell ref="Z77:AD77"/>
    <mergeCell ref="AG77:AK77"/>
    <mergeCell ref="AG78:AK78"/>
    <mergeCell ref="Z79:AD79"/>
    <mergeCell ref="AG79:AK79"/>
    <mergeCell ref="J103:K103"/>
    <mergeCell ref="A81:AU81"/>
    <mergeCell ref="A82:AU82"/>
    <mergeCell ref="AP109:AQ109"/>
    <mergeCell ref="AA107:AB107"/>
    <mergeCell ref="N102:R103"/>
    <mergeCell ref="AP102:AQ102"/>
    <mergeCell ref="U103:AC106"/>
    <mergeCell ref="AN33:AT38"/>
    <mergeCell ref="N62:R63"/>
    <mergeCell ref="AP62:AQ62"/>
    <mergeCell ref="A41:AU41"/>
    <mergeCell ref="A42:AU42"/>
    <mergeCell ref="J63:K63"/>
    <mergeCell ref="U63:AC66"/>
    <mergeCell ref="J64:K64"/>
    <mergeCell ref="A4:AU4"/>
    <mergeCell ref="A44:AU44"/>
    <mergeCell ref="A52:AU52"/>
    <mergeCell ref="I57:J57"/>
    <mergeCell ref="AN39:AT39"/>
    <mergeCell ref="Z34:AD34"/>
    <mergeCell ref="Z35:AD35"/>
    <mergeCell ref="Z36:AD36"/>
    <mergeCell ref="Z37:AD37"/>
    <mergeCell ref="Z38:AD38"/>
    <mergeCell ref="A67:I68"/>
    <mergeCell ref="J67:K68"/>
    <mergeCell ref="L67:M68"/>
    <mergeCell ref="AA67:AB67"/>
    <mergeCell ref="N68:R69"/>
    <mergeCell ref="AA68:AB68"/>
    <mergeCell ref="AA69:AB69"/>
    <mergeCell ref="AN79:AT79"/>
    <mergeCell ref="Z78:AD78"/>
    <mergeCell ref="AN73:AT78"/>
    <mergeCell ref="Z74:AD74"/>
    <mergeCell ref="AG74:AK74"/>
    <mergeCell ref="Z75:AD75"/>
    <mergeCell ref="AG75:AK75"/>
    <mergeCell ref="A84:AU84"/>
    <mergeCell ref="I97:J97"/>
    <mergeCell ref="AA97:AB97"/>
    <mergeCell ref="A92:AU92"/>
    <mergeCell ref="A107:I108"/>
    <mergeCell ref="J107:K108"/>
    <mergeCell ref="L107:M108"/>
    <mergeCell ref="N108:R109"/>
    <mergeCell ref="Z117:AD117"/>
    <mergeCell ref="AG117:AK117"/>
    <mergeCell ref="AG98:AH98"/>
    <mergeCell ref="AK101:AL101"/>
    <mergeCell ref="AA108:AB108"/>
    <mergeCell ref="AK108:AL108"/>
    <mergeCell ref="AA109:AB109"/>
    <mergeCell ref="Z113:AF113"/>
    <mergeCell ref="AG113:AM113"/>
    <mergeCell ref="AG114:AK114"/>
    <mergeCell ref="Z115:AD115"/>
    <mergeCell ref="AG115:AK115"/>
    <mergeCell ref="Z116:AD116"/>
    <mergeCell ref="AG116:AK116"/>
    <mergeCell ref="A5:AU5"/>
    <mergeCell ref="A45:AU45"/>
    <mergeCell ref="A85:AU85"/>
    <mergeCell ref="AN119:AT119"/>
    <mergeCell ref="Z118:AD118"/>
    <mergeCell ref="AG118:AK118"/>
    <mergeCell ref="Z119:AD119"/>
    <mergeCell ref="AG119:AK119"/>
    <mergeCell ref="AN113:AT118"/>
    <mergeCell ref="Z114:AD114"/>
  </mergeCells>
  <printOptions horizontalCentered="1"/>
  <pageMargins left="0.5905511811023623" right="0.5905511811023623" top="0.984251968503937" bottom="0.5905511811023623" header="0.5118110236220472" footer="0.31496062992125984"/>
  <pageSetup horizontalDpi="300" verticalDpi="300" orientation="landscape" paperSize="9" scale="80" r:id="rId2"/>
  <headerFooter alignWithMargins="0">
    <oddFooter>&amp;RCogenerazione - Pag. &amp;P</oddFooter>
  </headerFooter>
  <rowBreaks count="2" manualBreakCount="2">
    <brk id="40" max="255" man="1"/>
    <brk id="8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Gestione energie</dc:title>
  <dc:subject>14 - Problematiche economiche - Esercizio</dc:subject>
  <dc:creator>...</dc:creator>
  <cp:keywords/>
  <dc:description/>
  <cp:lastModifiedBy>Office 2000</cp:lastModifiedBy>
  <cp:lastPrinted>2013-01-21T15:07:11Z</cp:lastPrinted>
  <dcterms:created xsi:type="dcterms:W3CDTF">2006-12-19T20:46:22Z</dcterms:created>
  <dcterms:modified xsi:type="dcterms:W3CDTF">2013-01-22T08:18:14Z</dcterms:modified>
  <cp:category/>
  <cp:version/>
  <cp:contentType/>
  <cp:contentStatus/>
</cp:coreProperties>
</file>