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Foglio1!$A$1:$I$328</definedName>
  </definedNames>
  <calcPr calcId="145621"/>
</workbook>
</file>

<file path=xl/calcChain.xml><?xml version="1.0" encoding="utf-8"?>
<calcChain xmlns="http://schemas.openxmlformats.org/spreadsheetml/2006/main">
  <c r="F222" i="1" l="1"/>
  <c r="F216" i="1"/>
  <c r="F217" i="1"/>
  <c r="F230" i="1" s="1"/>
  <c r="C322" i="1"/>
  <c r="F322" i="1" s="1"/>
  <c r="C323" i="1"/>
  <c r="F323" i="1" s="1"/>
  <c r="C324" i="1"/>
  <c r="F324" i="1" s="1"/>
  <c r="C318" i="1"/>
  <c r="F318" i="1" s="1"/>
  <c r="C317" i="1"/>
  <c r="D317" i="1" s="1"/>
  <c r="C316" i="1"/>
  <c r="F316" i="1" s="1"/>
  <c r="F313" i="1"/>
  <c r="F218" i="1" l="1"/>
  <c r="F223" i="1"/>
  <c r="F317" i="1"/>
  <c r="E322" i="1"/>
  <c r="E323" i="1"/>
  <c r="E324" i="1"/>
  <c r="D322" i="1"/>
  <c r="D323" i="1"/>
  <c r="D324" i="1"/>
  <c r="D316" i="1"/>
  <c r="E316" i="1"/>
  <c r="E317" i="1"/>
  <c r="E318" i="1"/>
  <c r="D318" i="1"/>
  <c r="F206" i="1"/>
  <c r="E208" i="1" s="1"/>
  <c r="F201" i="1"/>
  <c r="F200" i="1"/>
  <c r="F187" i="1"/>
  <c r="F182" i="1"/>
  <c r="F195" i="1" s="1"/>
  <c r="F181" i="1"/>
  <c r="F146" i="1"/>
  <c r="H152" i="1" s="1"/>
  <c r="C147" i="1"/>
  <c r="E148" i="1" s="1"/>
  <c r="C168" i="1"/>
  <c r="E169" i="1" s="1"/>
  <c r="E225" i="1" l="1"/>
  <c r="E226" i="1"/>
  <c r="G219" i="1"/>
  <c r="G220" i="1"/>
  <c r="F183" i="1"/>
  <c r="F202" i="1"/>
  <c r="E205" i="1" s="1"/>
  <c r="F149" i="1"/>
  <c r="F167" i="1"/>
  <c r="C296" i="1"/>
  <c r="B296" i="1"/>
  <c r="D295" i="1"/>
  <c r="D294" i="1"/>
  <c r="F294" i="1" s="1"/>
  <c r="D293" i="1"/>
  <c r="F295" i="1" l="1"/>
  <c r="C300" i="1"/>
  <c r="C301" i="1"/>
  <c r="G184" i="1"/>
  <c r="G185" i="1"/>
  <c r="G203" i="1"/>
  <c r="G204" i="1"/>
  <c r="G150" i="1"/>
  <c r="H151" i="1" s="1"/>
  <c r="F170" i="1"/>
  <c r="G171" i="1" s="1"/>
  <c r="H172" i="1" s="1"/>
  <c r="H173" i="1"/>
  <c r="G294" i="1"/>
  <c r="D300" i="1" s="1"/>
  <c r="E300" i="1" s="1"/>
  <c r="G293" i="1"/>
  <c r="G295" i="1"/>
  <c r="D301" i="1" s="1"/>
  <c r="E301" i="1" s="1"/>
  <c r="F293" i="1"/>
  <c r="H295" i="1" l="1"/>
  <c r="H294" i="1"/>
  <c r="C299" i="1"/>
  <c r="H293" i="1"/>
  <c r="F296" i="1"/>
  <c r="D299" i="1"/>
  <c r="E299" i="1" s="1"/>
  <c r="E302" i="1" s="1"/>
  <c r="G296" i="1"/>
  <c r="F188" i="1"/>
  <c r="E190" i="1" l="1"/>
  <c r="E191" i="1"/>
  <c r="D250" i="1"/>
  <c r="D251" i="1"/>
  <c r="D252" i="1"/>
  <c r="D249" i="1"/>
  <c r="C250" i="1"/>
  <c r="C251" i="1"/>
  <c r="C252" i="1"/>
  <c r="C249" i="1"/>
  <c r="B253" i="1"/>
  <c r="C242" i="1"/>
  <c r="B242" i="1"/>
  <c r="C253" i="1" l="1"/>
  <c r="D253" i="1"/>
  <c r="F160" i="1"/>
  <c r="G159" i="1"/>
  <c r="F173" i="1" s="1"/>
  <c r="F138" i="1"/>
  <c r="G137" i="1"/>
  <c r="F126" i="1"/>
  <c r="H130" i="1" s="1"/>
  <c r="F120" i="1"/>
  <c r="F115" i="1"/>
  <c r="F129" i="1" s="1"/>
  <c r="F103" i="1"/>
  <c r="H107" i="1" s="1"/>
  <c r="F97" i="1"/>
  <c r="F92" i="1"/>
  <c r="F139" i="1" l="1"/>
  <c r="F140" i="1" s="1"/>
  <c r="F141" i="1" s="1"/>
  <c r="G143" i="1" s="1"/>
  <c r="F151" i="1"/>
  <c r="F152" i="1"/>
  <c r="F95" i="1"/>
  <c r="F98" i="1" s="1"/>
  <c r="F172" i="1"/>
  <c r="F161" i="1"/>
  <c r="F106" i="1"/>
  <c r="F118" i="1"/>
  <c r="C77" i="1"/>
  <c r="C78" i="1"/>
  <c r="C79" i="1"/>
  <c r="C80" i="1"/>
  <c r="C81" i="1"/>
  <c r="C82" i="1"/>
  <c r="C83" i="1"/>
  <c r="C84" i="1"/>
  <c r="C76" i="1"/>
  <c r="G65" i="1"/>
  <c r="E72" i="1" s="1"/>
  <c r="G84" i="1" s="1"/>
  <c r="E65" i="1"/>
  <c r="E70" i="1" s="1"/>
  <c r="B65" i="1"/>
  <c r="C52" i="1"/>
  <c r="C53" i="1"/>
  <c r="C54" i="1"/>
  <c r="C55" i="1"/>
  <c r="C56" i="1"/>
  <c r="C57" i="1"/>
  <c r="C58" i="1"/>
  <c r="C59" i="1"/>
  <c r="C51" i="1"/>
  <c r="G34" i="1"/>
  <c r="E41" i="1" s="1"/>
  <c r="E34" i="1"/>
  <c r="E39" i="1" s="1"/>
  <c r="B34" i="1"/>
  <c r="E29" i="1"/>
  <c r="E30" i="1" s="1"/>
  <c r="C28" i="1"/>
  <c r="E24" i="1"/>
  <c r="E25" i="1" s="1"/>
  <c r="C23" i="1"/>
  <c r="E20" i="1"/>
  <c r="E19" i="1"/>
  <c r="E18" i="1"/>
  <c r="E17" i="1"/>
  <c r="F15" i="1"/>
  <c r="B17" i="1"/>
  <c r="E11" i="1"/>
  <c r="E9" i="1"/>
  <c r="E10" i="1"/>
  <c r="E12" i="1"/>
  <c r="B9" i="1"/>
  <c r="F7" i="1"/>
  <c r="G7" i="1" s="1"/>
  <c r="F96" i="1" l="1"/>
  <c r="F104" i="1"/>
  <c r="G105" i="1" s="1"/>
  <c r="H106" i="1" s="1"/>
  <c r="F99" i="1"/>
  <c r="G142" i="1"/>
  <c r="F107" i="1"/>
  <c r="F162" i="1"/>
  <c r="G161" i="1"/>
  <c r="F121" i="1"/>
  <c r="F130" i="1" s="1"/>
  <c r="F119" i="1"/>
  <c r="E68" i="1"/>
  <c r="G77" i="1" s="1"/>
  <c r="E67" i="1"/>
  <c r="G76" i="1" s="1"/>
  <c r="E69" i="1"/>
  <c r="G78" i="1" s="1"/>
  <c r="E71" i="1"/>
  <c r="G81" i="1" s="1"/>
  <c r="E37" i="1"/>
  <c r="E36" i="1"/>
  <c r="G51" i="1" s="1"/>
  <c r="E38" i="1"/>
  <c r="E40" i="1"/>
  <c r="G101" i="1" l="1"/>
  <c r="G100" i="1"/>
  <c r="F163" i="1"/>
  <c r="F127" i="1"/>
  <c r="G128" i="1" s="1"/>
  <c r="H129" i="1" s="1"/>
  <c r="F122" i="1"/>
  <c r="E61" i="1"/>
  <c r="G85" i="1"/>
  <c r="E86" i="1"/>
  <c r="G57" i="1"/>
  <c r="G53" i="1"/>
  <c r="G54" i="1"/>
  <c r="G52" i="1"/>
  <c r="G165" i="1" l="1"/>
  <c r="G164" i="1"/>
  <c r="G123" i="1"/>
  <c r="G124" i="1"/>
  <c r="G60" i="1"/>
</calcChain>
</file>

<file path=xl/sharedStrings.xml><?xml version="1.0" encoding="utf-8"?>
<sst xmlns="http://schemas.openxmlformats.org/spreadsheetml/2006/main" count="417" uniqueCount="285">
  <si>
    <t>P(X&lt;3)=P(Z&lt;(3-3.2)/0.4)=P(Z&lt;-0.5)=</t>
  </si>
  <si>
    <t>sigma(Y)=</t>
  </si>
  <si>
    <t>cov(X,Y)=0.5*0.4*0,316=</t>
  </si>
  <si>
    <t>var(X)=</t>
  </si>
  <si>
    <t>V(T)=0,16+0,1+2*0,063=</t>
  </si>
  <si>
    <t>E(T)=3,2+1,8=</t>
  </si>
  <si>
    <t>P(X&gt;2)=P(Z&gt;(2-2,3)/0,3)=P(Z&gt;-1)=</t>
  </si>
  <si>
    <t>cov(X,Y)=-0,5*0,3*0,316=</t>
  </si>
  <si>
    <t>V(T)=0,09+0,1-2*0,047=</t>
  </si>
  <si>
    <t>E(T)=2,3+1,8=</t>
  </si>
  <si>
    <t>X è Po(5)</t>
  </si>
  <si>
    <t>var(Y)=(4^2)*var(X)=</t>
  </si>
  <si>
    <t>var(X)=5</t>
  </si>
  <si>
    <t>X è Po(4)</t>
  </si>
  <si>
    <t>var(X)=4</t>
  </si>
  <si>
    <t>p(0)=</t>
  </si>
  <si>
    <t>p(1)=</t>
  </si>
  <si>
    <t>p(2)=</t>
  </si>
  <si>
    <t>p(0,0)=p(0)*p(0)=</t>
  </si>
  <si>
    <t>p(0,1)=p(1,0)=p(0)*p(1)=</t>
  </si>
  <si>
    <t>p(0,2)=p(2,0)=p(0)*p(2)=</t>
  </si>
  <si>
    <t>p(1,1)=p(1)*p(1)=</t>
  </si>
  <si>
    <t>p(1,2)=p(2,1)=p(1)*p(2)=</t>
  </si>
  <si>
    <t>p(2,2)=p(2)*p(2)=</t>
  </si>
  <si>
    <t xml:space="preserve">X è Bi(2;0,6), Y è Bi(2;0,6), X e Y stoc. indip. </t>
  </si>
  <si>
    <t>x</t>
  </si>
  <si>
    <t>y</t>
  </si>
  <si>
    <t>t=x-y</t>
  </si>
  <si>
    <t>p(0)=p(0,0)+p(1,1)+p(2,2)=</t>
  </si>
  <si>
    <t>p(-1)=p(0,1)+p(1,2)=</t>
  </si>
  <si>
    <t>p(-2)=p(0,2)=</t>
  </si>
  <si>
    <t>p(2)=p(2,0)=</t>
  </si>
  <si>
    <t>p(1)=p(1,0)+p(2,1)=</t>
  </si>
  <si>
    <t>p(t)=P(T=t)</t>
  </si>
  <si>
    <t>somma delle probabiltà p(t) =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</si>
  <si>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la funzione di probabilità congiunta di (X,Y) si calcola come segue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</si>
  <si>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T=X-Y</t>
    </r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</si>
  <si>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P(X&gt;5)=1-P(X&lt;=5)=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</si>
  <si>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Y=2-4X</t>
    </r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</si>
  <si>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X è N(3.2;0.4^2)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</si>
  <si>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Y è N(1.8;0.1), rho(X,Y)=0.5, T=X+Y</t>
    </r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</si>
  <si>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X è N(2,3;0,3^2)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</si>
  <si>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Y è N(1,8;0,1), rho(X,Y)=-0.5, T=X+Y</t>
    </r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</si>
  <si>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P(X&lt;4)=P(X&lt;=3)=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</si>
  <si>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Y=4X-2</t>
    </r>
  </si>
  <si>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P(X&gt;Y)=p(1,0)+p(2,0)+p(2,1)=</t>
    </r>
  </si>
  <si>
    <t xml:space="preserve">X è Bi(2;0,4), Y è Bi(2;0,4), X e Y stoc. indip. </t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</si>
  <si>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T=X+Y</t>
    </r>
  </si>
  <si>
    <t>t=x+y</t>
  </si>
  <si>
    <t>p(1)=p(0,1)+p(0,1)=</t>
  </si>
  <si>
    <t>p(0)=p(0,0)=</t>
  </si>
  <si>
    <t>p(2)=p(0,2)+p(2,0)+p(1,1)=</t>
  </si>
  <si>
    <t>p(3)=p(1,2)+p(2,1)=</t>
  </si>
  <si>
    <t>p(4)=p(2,2)=</t>
  </si>
  <si>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P(X&lt;Y)=p(0,1)+p(0,2)+p(1,2)=</t>
    </r>
  </si>
  <si>
    <t>Il supporto sia di X sia di Y è dato dai valori  0, 1, 2, con le probabilità:</t>
  </si>
  <si>
    <t>Dimensione del campione n =</t>
  </si>
  <si>
    <t>somma dei valori osservati =</t>
  </si>
  <si>
    <t>somma dei quadrati dei valori osservati =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</si>
  <si>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stima puntuale del fatturato medio =</t>
    </r>
  </si>
  <si>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stima puntuale della varianza =</t>
    </r>
  </si>
  <si>
    <r>
      <rPr>
        <b/>
        <sz val="11"/>
        <color theme="1"/>
        <rFont val="Calibri"/>
        <family val="2"/>
        <scheme val="minor"/>
      </rPr>
      <t>d)</t>
    </r>
    <r>
      <rPr>
        <sz val="11"/>
        <color theme="1"/>
        <rFont val="Calibri"/>
        <family val="2"/>
        <scheme val="minor"/>
      </rPr>
      <t xml:space="preserve"> 1-alfa=0,95, 1-alfa/2=0,975</t>
    </r>
  </si>
  <si>
    <t>z(0,975)=</t>
  </si>
  <si>
    <t>stima  s.q.m. media campionaria =</t>
  </si>
  <si>
    <t>estremo inf intervallo = stima puntuale media - ME =</t>
  </si>
  <si>
    <t>estremo sup intervallo = stima puntuale media + ME</t>
  </si>
  <si>
    <t xml:space="preserve">stima puntuale dello s.q.m. = </t>
  </si>
  <si>
    <t>z(0,95)=</t>
  </si>
  <si>
    <t>ME = stima s.q.m. media camp. * z(0,95) =</t>
  </si>
  <si>
    <t>ME= stima s.q.m. media camp. * z(0,975) =</t>
  </si>
  <si>
    <t>alfa = 0,05, 1-alfa =</t>
  </si>
  <si>
    <t>si rifiuta per valori della statistica test &gt; 18 + ME =</t>
  </si>
  <si>
    <t xml:space="preserve">il valore osservato della statistica test è </t>
  </si>
  <si>
    <t>&gt;</t>
  </si>
  <si>
    <r>
      <rPr>
        <b/>
        <sz val="11"/>
        <color theme="1"/>
        <rFont val="Calibri"/>
        <family val="2"/>
        <scheme val="minor"/>
      </rPr>
      <t>e)</t>
    </r>
    <r>
      <rPr>
        <sz val="11"/>
        <color theme="1"/>
        <rFont val="Calibri"/>
        <family val="2"/>
        <scheme val="minor"/>
      </rPr>
      <t xml:space="preserve"> l'ipotesi alternativa  e'  H1:  mi&gt;18,  e l'ipotesi nulla è H0:  mi&lt;=18. </t>
    </r>
  </si>
  <si>
    <t>dunque si rifiuta H0:  mi&lt;=18.</t>
  </si>
  <si>
    <t>&lt;</t>
  </si>
  <si>
    <t>dunque non si rifiuta H0:  mi&lt;=18.</t>
  </si>
  <si>
    <t>La popolazione statistica X è Be(p) con media p e varianza p(1-p) non note</t>
  </si>
  <si>
    <t>z(0,995)=</t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</si>
  <si>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1-alfa=0,99, 1-alfa/2=0,995</t>
    </r>
  </si>
  <si>
    <t>stima puntuale della varianza p(1-p) =</t>
  </si>
  <si>
    <t>ME= stima s.q.m. media camp. * z(0,995) =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</si>
  <si>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stima puntuale della proporzione p = 14/150 =</t>
    </r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</si>
  <si>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stima puntuale della proporzione p = 16/150 =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</si>
  <si>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1-alfa=0,90, 1-alfa/2=0,95</t>
    </r>
  </si>
  <si>
    <t>ME= stima s.q.m. media camp. * z(0,95) =</t>
  </si>
  <si>
    <t>fr.ass.</t>
  </si>
  <si>
    <t>fr.re%</t>
  </si>
  <si>
    <t>fr.ass.cum</t>
  </si>
  <si>
    <t>fr.re%cum</t>
  </si>
  <si>
    <t>fr.re.</t>
  </si>
  <si>
    <t>x*fr.re</t>
  </si>
  <si>
    <t>media</t>
  </si>
  <si>
    <t>((x-1,5)^2)*fr.re</t>
  </si>
  <si>
    <t>varianza</t>
  </si>
  <si>
    <r>
      <rPr>
        <sz val="8"/>
        <color theme="1"/>
        <rFont val="Calibri"/>
        <family val="2"/>
        <scheme val="minor"/>
      </rPr>
      <t>(III quart)</t>
    </r>
    <r>
      <rPr>
        <sz val="11"/>
        <color theme="1"/>
        <rFont val="Calibri"/>
        <family val="2"/>
        <scheme val="minor"/>
      </rPr>
      <t xml:space="preserve">   2</t>
    </r>
  </si>
  <si>
    <r>
      <rPr>
        <sz val="8"/>
        <color theme="1"/>
        <rFont val="Calibri"/>
        <family val="2"/>
        <scheme val="minor"/>
      </rPr>
      <t>(I quart)</t>
    </r>
    <r>
      <rPr>
        <sz val="11"/>
        <color theme="1"/>
        <rFont val="Calibri"/>
        <family val="2"/>
        <scheme val="minor"/>
      </rPr>
      <t xml:space="preserve">     0</t>
    </r>
  </si>
  <si>
    <t>alternativamente</t>
  </si>
  <si>
    <t>media =</t>
  </si>
  <si>
    <t>150/100 =</t>
  </si>
  <si>
    <t>(350/100)-1,5^2 =</t>
  </si>
  <si>
    <t>varianza =</t>
  </si>
  <si>
    <t>dem.</t>
  </si>
  <si>
    <t>rep.</t>
  </si>
  <si>
    <t>Eij</t>
  </si>
  <si>
    <t>favor.</t>
  </si>
  <si>
    <t>indiff.</t>
  </si>
  <si>
    <t>contr.</t>
  </si>
  <si>
    <t>(Oij-Eij)^2/Eij</t>
  </si>
  <si>
    <t>valore osservato di Chi-q</t>
  </si>
  <si>
    <t>Test z: due campioni per medie</t>
  </si>
  <si>
    <t>Test t: due campioni assumendo varianze diverse</t>
  </si>
  <si>
    <t>pop. X</t>
  </si>
  <si>
    <t>pop. Y</t>
  </si>
  <si>
    <t>Media</t>
  </si>
  <si>
    <t>Varianza nota</t>
  </si>
  <si>
    <t>Varianza</t>
  </si>
  <si>
    <t>Osservazioni</t>
  </si>
  <si>
    <t>Differenza ipotizzata per le medie</t>
  </si>
  <si>
    <t>z</t>
  </si>
  <si>
    <t>gdl</t>
  </si>
  <si>
    <t>P(Z&lt;=z) una coda</t>
  </si>
  <si>
    <t>Stat t</t>
  </si>
  <si>
    <t>z critico una coda</t>
  </si>
  <si>
    <t>P(T&lt;=t) una coda</t>
  </si>
  <si>
    <t>P(Z&lt;=z) due code</t>
  </si>
  <si>
    <t>t critico una coda</t>
  </si>
  <si>
    <t>z critico due code</t>
  </si>
  <si>
    <t>P(T&lt;=t) due code</t>
  </si>
  <si>
    <t>t critico due code</t>
  </si>
  <si>
    <t>test con alfa = 0,01 ed H1: p&gt;0,1</t>
  </si>
  <si>
    <t>alfa = 0,01, 1-alfa =</t>
  </si>
  <si>
    <t>z(0,99)=</t>
  </si>
  <si>
    <t>si rifiuta per valori della statistica test &gt; 0,1 + ME =</t>
  </si>
  <si>
    <t>dunque non si rifiuta H0:  p&lt;=0,1.</t>
  </si>
  <si>
    <t>il supporto di T è dato dai valori t = 0, -1, -2, 1, 2 con le rispettive</t>
  </si>
  <si>
    <t xml:space="preserve">probabilità come risulta dalla tabella qui sotto </t>
  </si>
  <si>
    <t>il supporto di T è dato dai valori t = 0, 1, 2, 3, 4 con le rispettive</t>
  </si>
  <si>
    <t>grande" è gaussiana, inoltre tale stimatore è non distorto per la media e  consistente.</t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</si>
  <si>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lo stimatore è la media campionaria che (per il T.C.L.) per n "sufficientemente </t>
    </r>
  </si>
  <si>
    <t>]</t>
  </si>
  <si>
    <t>(18,2667- 18)/0,0331 =</t>
  </si>
  <si>
    <t>(18,2- 18)/0,13 =</t>
  </si>
  <si>
    <t>ME = s.q.m. media camp. * z(0,99) =</t>
  </si>
  <si>
    <t>p0 = 0,1; p0*(1-p0)=</t>
  </si>
  <si>
    <t>s.q.m. media campionaria =</t>
  </si>
  <si>
    <t>(0,1067- 0,1)/0,024495 =</t>
  </si>
  <si>
    <t>c) solo parziale ST</t>
  </si>
  <si>
    <t>test con alfa = 0,01 ed H1: p&lt;0,1</t>
  </si>
  <si>
    <t>alfa = 0,1, 1-alfa =</t>
  </si>
  <si>
    <t>z(0,9)=</t>
  </si>
  <si>
    <t>ME = s.q.m. media camp. * z(0,9) =</t>
  </si>
  <si>
    <t>si rifiuta per valori della statistica test &lt; 0,1 - ME =</t>
  </si>
  <si>
    <t>(0,0933- 0,1)/0,024495 =</t>
  </si>
  <si>
    <t>dunque non si rifiuta H0:  p&gt;=0,1.</t>
  </si>
  <si>
    <r>
      <t xml:space="preserve">Esercizio 5  </t>
    </r>
    <r>
      <rPr>
        <u/>
        <sz val="11"/>
        <color theme="1"/>
        <rFont val="Calibri"/>
        <family val="2"/>
        <scheme val="minor"/>
      </rPr>
      <t>generale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domande a) e b) 1+2=3 punti,</t>
    </r>
  </si>
  <si>
    <r>
      <rPr>
        <b/>
        <sz val="11"/>
        <color theme="1"/>
        <rFont val="Calibri"/>
        <family val="2"/>
        <scheme val="minor"/>
      </rPr>
      <t>Esercizio 2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parziale ST</t>
    </r>
    <r>
      <rPr>
        <sz val="11"/>
        <color theme="1"/>
        <rFont val="Calibri"/>
        <family val="2"/>
        <scheme val="minor"/>
      </rPr>
      <t xml:space="preserve"> domande a), b) e c) 1+2+2=5  punti </t>
    </r>
  </si>
  <si>
    <r>
      <t xml:space="preserve">Esercizio 5  </t>
    </r>
    <r>
      <rPr>
        <u/>
        <sz val="11"/>
        <color theme="1"/>
        <rFont val="Calibri"/>
        <family val="2"/>
        <scheme val="minor"/>
      </rPr>
      <t>generale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domande a) e b) 1+2=3 punti,</t>
    </r>
  </si>
  <si>
    <r>
      <rPr>
        <b/>
        <sz val="11"/>
        <color theme="1"/>
        <rFont val="Calibri"/>
        <family val="2"/>
        <scheme val="minor"/>
      </rPr>
      <t>Esercizio 2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parziale CH</t>
    </r>
    <r>
      <rPr>
        <sz val="11"/>
        <color theme="1"/>
        <rFont val="Calibri"/>
        <family val="2"/>
        <scheme val="minor"/>
      </rPr>
      <t xml:space="preserve"> domande a), b) e c) 1+2+2=5  punti </t>
    </r>
  </si>
  <si>
    <r>
      <rPr>
        <b/>
        <sz val="11"/>
        <color theme="1"/>
        <rFont val="Calibri"/>
        <family val="2"/>
        <scheme val="minor"/>
      </rPr>
      <t>Esercizio 3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parziale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domande a) e b) 2+2=4 punti</t>
    </r>
  </si>
  <si>
    <t xml:space="preserve">la spesa di una famiglia è X gaussiana </t>
  </si>
  <si>
    <t>Dimensione del campione   n =</t>
  </si>
  <si>
    <t>media osservata di X =</t>
  </si>
  <si>
    <t>dev. st. o s.q.m. osservata di X =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</si>
  <si>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1-alfa=0,99, 1-alfa/2=0,995</t>
    </r>
  </si>
  <si>
    <t>gradi di libertà =</t>
  </si>
  <si>
    <t>t(0,995)=</t>
  </si>
  <si>
    <t>ME= stima s.q.m. media camp. * t(0,995) =</t>
  </si>
  <si>
    <t>alfa = 0,01, 1-alfa/2=0,995</t>
  </si>
  <si>
    <t>ME = stima s.q.m. media camp. * t(0,995) =</t>
  </si>
  <si>
    <r>
      <rPr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che sono &gt; 1500+ME =</t>
    </r>
  </si>
  <si>
    <r>
      <rPr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che sono &lt; 1500-ME =</t>
    </r>
  </si>
  <si>
    <t>si rifiuta per valori della statistica test che cadono nella ragione di rifiuto, cioè</t>
  </si>
  <si>
    <t>precedenti e dunque non si rifiuta H0.</t>
  </si>
  <si>
    <t xml:space="preserve">il valore osservato della statistica test è 1480 che non verifica le diseguaglianze </t>
  </si>
  <si>
    <t>&lt; t(0,995)]</t>
  </si>
  <si>
    <t xml:space="preserve"> X  è gaussiana con s.q.m. =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</si>
  <si>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1-alfa=0,9, 1-alfa/2=0,95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</si>
  <si>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lunghezza intervallo = 2*ME=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</si>
  <si>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H0: mi=1500, H1: mi diverso da 1500</t>
    </r>
  </si>
  <si>
    <r>
      <rPr>
        <b/>
        <sz val="11"/>
        <color theme="1"/>
        <rFont val="Calibri"/>
        <family val="2"/>
        <scheme val="minor"/>
      </rPr>
      <t>Esercizio 3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parziale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domande a), b) e c) 2+1+2=5 punti</t>
    </r>
  </si>
  <si>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1-alfa=0,9, 1-alfa/2=0,95</t>
    </r>
  </si>
  <si>
    <t>(4*z(0,95))^2&lt;=n</t>
  </si>
  <si>
    <t>deve essere: lunghezza = 2* ME &lt;=2, e dunque n deve essere</t>
  </si>
  <si>
    <t>ovvero</t>
  </si>
  <si>
    <t>&lt;=n</t>
  </si>
  <si>
    <t>Soluzioni Generale  Standard A e B</t>
  </si>
  <si>
    <t>Soluzioni esame 29 Gennaio 2015</t>
  </si>
  <si>
    <t xml:space="preserve">Soluzioni Generale Challenge </t>
  </si>
  <si>
    <t>Soluzioni II Parziale Standard e Challenge</t>
  </si>
  <si>
    <t>da cui il valore di n minimo è 44.</t>
  </si>
  <si>
    <r>
      <t xml:space="preserve">Esercizio 1 </t>
    </r>
    <r>
      <rPr>
        <sz val="11"/>
        <color theme="1"/>
        <rFont val="Calibri"/>
        <family val="2"/>
        <scheme val="minor"/>
      </rPr>
      <t>Generale ST B</t>
    </r>
  </si>
  <si>
    <r>
      <t xml:space="preserve">Esercizio 1 </t>
    </r>
    <r>
      <rPr>
        <sz val="11"/>
        <color theme="1"/>
        <rFont val="Calibri"/>
        <family val="2"/>
        <scheme val="minor"/>
      </rPr>
      <t xml:space="preserve">Generale ST A e </t>
    </r>
    <r>
      <rPr>
        <b/>
        <sz val="11"/>
        <color theme="1"/>
        <rFont val="Calibri"/>
        <family val="2"/>
        <scheme val="minor"/>
      </rPr>
      <t>Esercizio 1</t>
    </r>
    <r>
      <rPr>
        <sz val="11"/>
        <color theme="1"/>
        <rFont val="Calibri"/>
        <family val="2"/>
        <scheme val="minor"/>
      </rPr>
      <t xml:space="preserve"> Generale CH</t>
    </r>
  </si>
  <si>
    <r>
      <t xml:space="preserve">Esercizio 2 </t>
    </r>
    <r>
      <rPr>
        <sz val="11"/>
        <color theme="1"/>
        <rFont val="Calibri"/>
        <family val="2"/>
        <scheme val="minor"/>
      </rPr>
      <t>Generale ST B</t>
    </r>
  </si>
  <si>
    <r>
      <t xml:space="preserve">Esercizio 3 </t>
    </r>
    <r>
      <rPr>
        <sz val="11"/>
        <color theme="1"/>
        <rFont val="Calibri"/>
        <family val="2"/>
        <scheme val="minor"/>
      </rPr>
      <t>Generale ST B</t>
    </r>
  </si>
  <si>
    <r>
      <t xml:space="preserve">Esercizio 2 </t>
    </r>
    <r>
      <rPr>
        <sz val="11"/>
        <color theme="1"/>
        <rFont val="Calibri"/>
        <family val="2"/>
        <scheme val="minor"/>
      </rPr>
      <t xml:space="preserve">Generale ST A e </t>
    </r>
    <r>
      <rPr>
        <b/>
        <sz val="11"/>
        <color theme="1"/>
        <rFont val="Calibri"/>
        <family val="2"/>
        <scheme val="minor"/>
      </rPr>
      <t>Esercizio 2</t>
    </r>
    <r>
      <rPr>
        <sz val="11"/>
        <color theme="1"/>
        <rFont val="Calibri"/>
        <family val="2"/>
        <scheme val="minor"/>
      </rPr>
      <t xml:space="preserve"> Generale CH</t>
    </r>
  </si>
  <si>
    <r>
      <t xml:space="preserve">Esercizio 3 </t>
    </r>
    <r>
      <rPr>
        <sz val="11"/>
        <color theme="1"/>
        <rFont val="Calibri"/>
        <family val="2"/>
        <scheme val="minor"/>
      </rPr>
      <t xml:space="preserve">Generale ST A e </t>
    </r>
    <r>
      <rPr>
        <b/>
        <sz val="11"/>
        <color theme="1"/>
        <rFont val="Calibri"/>
        <family val="2"/>
        <scheme val="minor"/>
      </rPr>
      <t>Esercizio 3</t>
    </r>
    <r>
      <rPr>
        <sz val="11"/>
        <color theme="1"/>
        <rFont val="Calibri"/>
        <family val="2"/>
        <scheme val="minor"/>
      </rPr>
      <t xml:space="preserve"> Generale CH (senza domanda c))</t>
    </r>
  </si>
  <si>
    <r>
      <rPr>
        <b/>
        <sz val="11"/>
        <color theme="1"/>
        <rFont val="Calibri"/>
        <family val="2"/>
        <scheme val="minor"/>
      </rPr>
      <t>Esercizio 4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parziale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domande a), b)  2+2=4 punti</t>
    </r>
  </si>
  <si>
    <r>
      <rPr>
        <b/>
        <sz val="11"/>
        <color theme="1"/>
        <rFont val="Calibri"/>
        <family val="2"/>
        <scheme val="minor"/>
      </rPr>
      <t>Esercizi 5.2 e 5.3</t>
    </r>
    <r>
      <rPr>
        <sz val="11"/>
        <color theme="1"/>
        <rFont val="Calibri"/>
        <family val="2"/>
        <scheme val="minor"/>
      </rPr>
      <t xml:space="preserve">  </t>
    </r>
    <r>
      <rPr>
        <u/>
        <sz val="11"/>
        <color theme="1"/>
        <rFont val="Calibri"/>
        <family val="2"/>
        <scheme val="minor"/>
      </rPr>
      <t>Parziale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Esercizi 6.2 e 6.3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Parziale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CH</t>
    </r>
  </si>
  <si>
    <r>
      <rPr>
        <b/>
        <sz val="11"/>
        <color theme="1"/>
        <rFont val="Calibri"/>
        <family val="2"/>
        <scheme val="minor"/>
      </rPr>
      <t>Esercizio 5.1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Parziale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Esercizio 6.1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Parziale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CH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</si>
  <si>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1-alfa=0,95, 1-alfa/2=0,975</t>
    </r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</si>
  <si>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previsione: y = 0,032+1,024*0,05= </t>
    </r>
  </si>
  <si>
    <t>t(0,975)=</t>
  </si>
  <si>
    <t>g.d.l. 78</t>
  </si>
  <si>
    <t>n-2=78&gt;30</t>
  </si>
  <si>
    <t>estr.inf</t>
  </si>
  <si>
    <t>estr.sup.</t>
  </si>
  <si>
    <t>ME</t>
  </si>
  <si>
    <t>q(0,975)</t>
  </si>
  <si>
    <t>g.d.l. 80</t>
  </si>
  <si>
    <t>valori critici</t>
  </si>
  <si>
    <t>inferiore</t>
  </si>
  <si>
    <t>superiore</t>
  </si>
  <si>
    <t>intervallo</t>
  </si>
  <si>
    <t>q(0,995)</t>
  </si>
  <si>
    <r>
      <rPr>
        <b/>
        <sz val="11"/>
        <color theme="1"/>
        <rFont val="Calibri"/>
        <family val="2"/>
        <scheme val="minor"/>
      </rPr>
      <t>Esercizio 6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generale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domande a), b) 0,5+1,5=2 punti  </t>
    </r>
  </si>
  <si>
    <r>
      <rPr>
        <b/>
        <sz val="11"/>
        <color theme="1"/>
        <rFont val="Calibri"/>
        <family val="2"/>
        <scheme val="minor"/>
      </rPr>
      <t>Esercizio 5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parziale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domande a), b), c) 0,5+1,5+1=3 punti  </t>
    </r>
  </si>
  <si>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solo parziale CH</t>
    </r>
    <r>
      <rPr>
        <sz val="11"/>
        <color theme="1"/>
        <rFont val="Calibri"/>
        <family val="2"/>
        <scheme val="minor"/>
      </rPr>
      <t>; H0: b1=0, H1: b1 diverso da 0</t>
    </r>
  </si>
  <si>
    <t>g.d.l.</t>
  </si>
  <si>
    <t>c) solo parziale CH;</t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</si>
  <si>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H0: mi=1300, H1: mi diverso da 1300</t>
    </r>
  </si>
  <si>
    <r>
      <rPr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che sono &gt; 1300+ME =</t>
    </r>
  </si>
  <si>
    <r>
      <rPr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che sono &lt; 1300-ME =</t>
    </r>
  </si>
  <si>
    <t xml:space="preserve">il valore osservato della statistica test è 1280 che non verifica le diseguaglianze </t>
  </si>
  <si>
    <t>nel nostro caso invece (1480-1500)/27,716 =</t>
  </si>
  <si>
    <t>&gt; t(0,995)</t>
  </si>
  <si>
    <t>nel nostro caso invece (1280-1300)/28,284 =</t>
  </si>
  <si>
    <r>
      <rPr>
        <b/>
        <sz val="11"/>
        <color theme="1"/>
        <rFont val="Calibri"/>
        <family val="2"/>
        <scheme val="minor"/>
      </rPr>
      <t xml:space="preserve">Esercizio 6 </t>
    </r>
    <r>
      <rPr>
        <u/>
        <sz val="11"/>
        <color theme="1"/>
        <rFont val="Calibri"/>
        <family val="2"/>
        <scheme val="minor"/>
      </rPr>
      <t>Generale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e 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 domande a)-d) 1+1+1+1 = 4 punti</t>
    </r>
  </si>
  <si>
    <r>
      <rPr>
        <b/>
        <sz val="11"/>
        <color theme="1"/>
        <rFont val="Calibri"/>
        <family val="2"/>
        <scheme val="minor"/>
      </rPr>
      <t>Esercizio 7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Generale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domande a)-d) 1+1+1+1 = 4 punti</t>
    </r>
  </si>
  <si>
    <r>
      <t xml:space="preserve">Esercizio 4 </t>
    </r>
    <r>
      <rPr>
        <u/>
        <sz val="11"/>
        <color theme="1"/>
        <rFont val="Calibri"/>
        <family val="2"/>
        <scheme val="minor"/>
      </rPr>
      <t>generale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domande  a)-e) 1+1+1+2,5+2,5=8 punti</t>
    </r>
  </si>
  <si>
    <r>
      <t xml:space="preserve">Esercizio 3 </t>
    </r>
    <r>
      <rPr>
        <u/>
        <sz val="11"/>
        <color theme="1"/>
        <rFont val="Calibri"/>
        <family val="2"/>
        <scheme val="minor"/>
      </rPr>
      <t>generale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 xml:space="preserve">CH </t>
    </r>
    <r>
      <rPr>
        <sz val="11"/>
        <color theme="1"/>
        <rFont val="Calibri"/>
        <family val="2"/>
        <scheme val="minor"/>
      </rPr>
      <t xml:space="preserve"> domande da a)-e) 1+1+1+2,5+2,5=8 punti</t>
    </r>
  </si>
  <si>
    <r>
      <t xml:space="preserve">Esercizio 1 </t>
    </r>
    <r>
      <rPr>
        <u/>
        <sz val="11"/>
        <color theme="1"/>
        <rFont val="Calibri"/>
        <family val="2"/>
        <scheme val="minor"/>
      </rPr>
      <t>parziale</t>
    </r>
    <r>
      <rPr>
        <b/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domande a)-e) 1+1+1+2,5+2,5=8 punti</t>
    </r>
  </si>
  <si>
    <r>
      <t xml:space="preserve">Esercizio 4 </t>
    </r>
    <r>
      <rPr>
        <u/>
        <sz val="11"/>
        <color theme="1"/>
        <rFont val="Calibri"/>
        <family val="2"/>
        <scheme val="minor"/>
      </rPr>
      <t>generale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domande da a)-e) 1+1+1+2,5+2,5=8 punti</t>
    </r>
  </si>
  <si>
    <r>
      <rPr>
        <b/>
        <sz val="11"/>
        <color theme="1"/>
        <rFont val="Calibri"/>
        <family val="2"/>
        <scheme val="minor"/>
      </rPr>
      <t>Esercizio 1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parziale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domande da a)-d) 1+1+2+3=7 punti</t>
    </r>
  </si>
  <si>
    <r>
      <rPr>
        <b/>
        <sz val="11"/>
        <color theme="1"/>
        <rFont val="Calibri"/>
        <family val="2"/>
        <scheme val="minor"/>
      </rPr>
      <t>Esercizi 7.1 e 7.2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Generale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e </t>
    </r>
    <r>
      <rPr>
        <u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Esercizi 8.1 e 8.2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Generale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CH</t>
    </r>
  </si>
  <si>
    <t>non si rifiuta H0: mi=1300 al livello alfa = 0,01].</t>
  </si>
  <si>
    <r>
      <t>[</t>
    </r>
    <r>
      <rPr>
        <u/>
        <sz val="11"/>
        <color theme="1"/>
        <rFont val="Calibri"/>
        <family val="2"/>
        <scheme val="minor"/>
      </rPr>
      <t>alternativamente</t>
    </r>
    <r>
      <rPr>
        <sz val="11"/>
        <color theme="1"/>
        <rFont val="Calibri"/>
        <family val="2"/>
        <scheme val="minor"/>
      </rPr>
      <t>: si rfiuta se (1280-1300)/28,284 è (in valore assoluto)</t>
    </r>
  </si>
  <si>
    <r>
      <t>[</t>
    </r>
    <r>
      <rPr>
        <u/>
        <sz val="11"/>
        <color theme="1"/>
        <rFont val="Calibri"/>
        <family val="2"/>
        <scheme val="minor"/>
      </rPr>
      <t>alternativamente</t>
    </r>
    <r>
      <rPr>
        <sz val="11"/>
        <color theme="1"/>
        <rFont val="Calibri"/>
        <family val="2"/>
        <scheme val="minor"/>
      </rPr>
      <t>: 1300 cade nell'intervallo di confidenza 1-alfa=0,99 di cui in a) e quindi</t>
    </r>
  </si>
  <si>
    <r>
      <t>[</t>
    </r>
    <r>
      <rPr>
        <u/>
        <sz val="11"/>
        <color theme="1"/>
        <rFont val="Calibri"/>
        <family val="2"/>
        <scheme val="minor"/>
      </rPr>
      <t>alternativamente:</t>
    </r>
    <r>
      <rPr>
        <sz val="11"/>
        <color theme="1"/>
        <rFont val="Calibri"/>
        <family val="2"/>
        <scheme val="minor"/>
      </rPr>
      <t xml:space="preserve"> si rfiuta se (1480-1500)/27,716 è (in valore assoluto)</t>
    </r>
  </si>
  <si>
    <r>
      <t>[</t>
    </r>
    <r>
      <rPr>
        <u/>
        <sz val="11"/>
        <color theme="1"/>
        <rFont val="Calibri"/>
        <family val="2"/>
        <scheme val="minor"/>
      </rPr>
      <t>alternativamente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</si>
  <si>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7.1, 8.1, 5.2, 6.2</t>
    </r>
    <r>
      <rPr>
        <sz val="11"/>
        <color theme="1"/>
        <rFont val="Calibri"/>
        <family val="2"/>
        <scheme val="minor"/>
      </rPr>
      <t>: a) e b) 2+2 = 4 punti</t>
    </r>
  </si>
  <si>
    <r>
      <rPr>
        <b/>
        <sz val="11"/>
        <color theme="1"/>
        <rFont val="Calibri"/>
        <family val="2"/>
        <scheme val="minor"/>
      </rPr>
      <t>7.2, 8.2, 5.3, 6.3</t>
    </r>
    <r>
      <rPr>
        <sz val="11"/>
        <color theme="1"/>
        <rFont val="Calibri"/>
        <family val="2"/>
        <scheme val="minor"/>
      </rPr>
      <t>: a) e b) 2+2 = 4 punti</t>
    </r>
  </si>
  <si>
    <t>z critico</t>
  </si>
  <si>
    <t>p-value</t>
  </si>
  <si>
    <r>
      <rPr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per z ossservato &lt;  - z critico</t>
    </r>
  </si>
  <si>
    <r>
      <rPr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per z ossservato &gt;   z critico</t>
    </r>
  </si>
  <si>
    <t>nessuno dei due casi è verificato</t>
  </si>
  <si>
    <t>e quindi non si rifiuta H0.</t>
  </si>
  <si>
    <t>da cui alfa=</t>
  </si>
  <si>
    <t>z(1-alfa/2)=</t>
  </si>
  <si>
    <t>che con la tavola N(0;1) dà</t>
  </si>
  <si>
    <t>1-alfa/2 =</t>
  </si>
  <si>
    <t xml:space="preserve">regione di rifiuto, si rifiuta 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</si>
  <si>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H0: miX =miY;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</si>
  <si>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il valore critico (con due decimali) dà:</t>
    </r>
  </si>
  <si>
    <r>
      <rPr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per t ossservato &lt;  - t critico</t>
    </r>
  </si>
  <si>
    <r>
      <rPr>
        <u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per t ossservato &gt;   t critico</t>
    </r>
  </si>
  <si>
    <t>t critico</t>
  </si>
  <si>
    <t>t osservato</t>
  </si>
  <si>
    <t xml:space="preserve">z osservato </t>
  </si>
  <si>
    <t>maggiori di p-value</t>
  </si>
  <si>
    <t>Oij</t>
  </si>
  <si>
    <t>gdl (r-1)*(c-1) =2; alfa=0,05</t>
  </si>
  <si>
    <t>riga gdl=2</t>
  </si>
  <si>
    <t>colonna 1-alfa=0,95</t>
  </si>
  <si>
    <t>valore critico 5,99</t>
  </si>
  <si>
    <t>&lt; valore osservato Chi-q</t>
  </si>
  <si>
    <t>quindi il valore osservato cade nella regione di rifiuto e</t>
  </si>
  <si>
    <t>tra affiliazione politica e orientamento circa le politiche di risparmio energetico.</t>
  </si>
  <si>
    <t xml:space="preserve">pertanto si rifiuta l'ipotesi H0 che che vi sia indipendenza </t>
  </si>
  <si>
    <t>valore critico di Chi-q(0,05;2) è dato dalla tavola all'incrocio di riga e colonna ovvero</t>
  </si>
  <si>
    <t>Calcolo di Chi-q osservato</t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</si>
  <si>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si rifiuta per tutti gli alfa</t>
    </r>
  </si>
  <si>
    <t>frequenze assolute osservate</t>
  </si>
  <si>
    <t>frequenze assolute attese</t>
  </si>
  <si>
    <r>
      <rPr>
        <b/>
        <sz val="11"/>
        <color theme="1"/>
        <rFont val="Calibri"/>
        <family val="2"/>
        <scheme val="minor"/>
      </rPr>
      <t xml:space="preserve">Esercizi </t>
    </r>
    <r>
      <rPr>
        <sz val="11"/>
        <color theme="1"/>
        <rFont val="Calibri"/>
        <family val="2"/>
        <scheme val="minor"/>
      </rPr>
      <t xml:space="preserve">5.1 e 5.2  </t>
    </r>
    <r>
      <rPr>
        <u/>
        <sz val="11"/>
        <color theme="1"/>
        <rFont val="Calibri"/>
        <family val="2"/>
        <scheme val="minor"/>
      </rPr>
      <t>Generale CH</t>
    </r>
    <r>
      <rPr>
        <sz val="11"/>
        <color theme="1"/>
        <rFont val="Calibri"/>
        <family val="2"/>
        <scheme val="minor"/>
      </rPr>
      <t xml:space="preserve"> 1+2=3 punti </t>
    </r>
  </si>
  <si>
    <r>
      <rPr>
        <b/>
        <sz val="11"/>
        <color theme="1"/>
        <rFont val="Calibri"/>
        <family val="2"/>
        <scheme val="minor"/>
      </rPr>
      <t>Esercizi</t>
    </r>
    <r>
      <rPr>
        <sz val="11"/>
        <color theme="1"/>
        <rFont val="Calibri"/>
        <family val="2"/>
        <scheme val="minor"/>
      </rPr>
      <t xml:space="preserve"> 4.1 e 4.2  </t>
    </r>
    <r>
      <rPr>
        <u/>
        <sz val="11"/>
        <color theme="1"/>
        <rFont val="Calibri"/>
        <family val="2"/>
        <scheme val="minor"/>
      </rPr>
      <t>Parziale CH</t>
    </r>
    <r>
      <rPr>
        <sz val="11"/>
        <color theme="1"/>
        <rFont val="Calibri"/>
        <family val="2"/>
        <scheme val="minor"/>
      </rPr>
      <t xml:space="preserve"> 2+2=4 punti </t>
    </r>
  </si>
  <si>
    <t>Vedere, mutatis mutandis, le soluzioni dell'esame precedente.</t>
  </si>
  <si>
    <t>pag. 1</t>
  </si>
  <si>
    <t>pag. 2</t>
  </si>
  <si>
    <t>pag. 3</t>
  </si>
  <si>
    <t>pag. 4</t>
  </si>
  <si>
    <t>pag. 5</t>
  </si>
  <si>
    <t>pag.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</si>
</sst>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/>
    <xf numFmtId="0" fontId="1" fillId="0" borderId="0" xfId="0" applyFont="1"/>
    <xf numFmtId="0" fontId="0" fillId="0" borderId="0" xfId="0" applyFont="1" applyBorder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11" xfId="0" applyBorder="1"/>
    <xf numFmtId="10" fontId="0" fillId="0" borderId="5" xfId="0" applyNumberFormat="1" applyBorder="1"/>
    <xf numFmtId="10" fontId="0" fillId="0" borderId="1" xfId="0" applyNumberFormat="1" applyBorder="1"/>
    <xf numFmtId="0" fontId="3" fillId="0" borderId="1" xfId="0" applyFont="1" applyBorder="1"/>
    <xf numFmtId="2" fontId="0" fillId="0" borderId="7" xfId="0" applyNumberFormat="1" applyBorder="1"/>
    <xf numFmtId="2" fontId="0" fillId="0" borderId="2" xfId="0" applyNumberFormat="1" applyBorder="1"/>
    <xf numFmtId="0" fontId="5" fillId="0" borderId="0" xfId="0" applyFont="1"/>
    <xf numFmtId="0" fontId="5" fillId="0" borderId="1" xfId="0" applyFont="1" applyFill="1" applyBorder="1"/>
    <xf numFmtId="49" fontId="0" fillId="0" borderId="0" xfId="0" applyNumberFormat="1"/>
    <xf numFmtId="0" fontId="0" fillId="0" borderId="0" xfId="0" applyFill="1"/>
    <xf numFmtId="0" fontId="0" fillId="2" borderId="0" xfId="0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8" xfId="0" applyFill="1" applyBorder="1" applyAlignment="1"/>
    <xf numFmtId="0" fontId="0" fillId="0" borderId="14" xfId="0" applyFill="1" applyBorder="1" applyAlignment="1"/>
    <xf numFmtId="49" fontId="2" fillId="0" borderId="0" xfId="0" applyNumberFormat="1" applyFont="1"/>
    <xf numFmtId="0" fontId="1" fillId="0" borderId="0" xfId="0" applyFont="1" applyBorder="1"/>
    <xf numFmtId="0" fontId="1" fillId="0" borderId="12" xfId="0" applyFont="1" applyBorder="1"/>
    <xf numFmtId="0" fontId="0" fillId="0" borderId="8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7" xfId="0" applyFont="1" applyBorder="1"/>
    <xf numFmtId="0" fontId="0" fillId="0" borderId="9" xfId="0" applyFont="1" applyBorder="1"/>
    <xf numFmtId="49" fontId="0" fillId="0" borderId="3" xfId="0" applyNumberFormat="1" applyBorder="1"/>
    <xf numFmtId="0" fontId="2" fillId="0" borderId="5" xfId="0" applyFont="1" applyBorder="1"/>
    <xf numFmtId="0" fontId="0" fillId="0" borderId="12" xfId="0" applyFont="1" applyBorder="1"/>
    <xf numFmtId="49" fontId="0" fillId="0" borderId="15" xfId="0" applyNumberFormat="1" applyBorder="1"/>
    <xf numFmtId="49" fontId="0" fillId="0" borderId="9" xfId="0" applyNumberFormat="1" applyBorder="1"/>
    <xf numFmtId="49" fontId="0" fillId="0" borderId="0" xfId="0" applyNumberFormat="1" applyBorder="1"/>
    <xf numFmtId="49" fontId="0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9" xfId="0" applyFill="1" applyBorder="1" applyAlignment="1"/>
    <xf numFmtId="0" fontId="0" fillId="0" borderId="12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13" xfId="0" applyFill="1" applyBorder="1"/>
    <xf numFmtId="0" fontId="0" fillId="0" borderId="8" xfId="0" applyFill="1" applyBorder="1"/>
    <xf numFmtId="0" fontId="0" fillId="0" borderId="14" xfId="0" applyFill="1" applyBorder="1"/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0" fontId="0" fillId="2" borderId="1" xfId="0" applyFill="1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0" fontId="0" fillId="0" borderId="0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tabSelected="1" topLeftCell="D320" zoomScale="180" zoomScaleNormal="180" workbookViewId="0">
      <selection activeCell="J322" sqref="J322"/>
    </sheetView>
  </sheetViews>
  <sheetFormatPr defaultRowHeight="15" x14ac:dyDescent="0.25"/>
  <cols>
    <col min="3" max="3" width="9.7109375" customWidth="1"/>
    <col min="4" max="4" width="10.7109375" customWidth="1"/>
    <col min="6" max="6" width="10.140625" bestFit="1" customWidth="1"/>
    <col min="7" max="7" width="12.28515625" bestFit="1" customWidth="1"/>
    <col min="9" max="9" width="2.7109375" customWidth="1"/>
  </cols>
  <sheetData>
    <row r="1" spans="1:8" ht="15.75" thickBot="1" x14ac:dyDescent="0.3">
      <c r="A1" s="47" t="s">
        <v>188</v>
      </c>
      <c r="B1" s="48"/>
      <c r="C1" s="48"/>
      <c r="D1" s="48"/>
      <c r="E1" s="48"/>
      <c r="F1" s="5"/>
      <c r="G1" s="5"/>
      <c r="H1" s="6" t="s">
        <v>279</v>
      </c>
    </row>
    <row r="2" spans="1:8" x14ac:dyDescent="0.25">
      <c r="A2" s="29" t="s">
        <v>187</v>
      </c>
      <c r="B2" s="32"/>
      <c r="C2" s="32"/>
      <c r="D2" s="32"/>
      <c r="E2" s="32"/>
      <c r="F2" s="32"/>
      <c r="G2" s="32"/>
      <c r="H2" s="18"/>
    </row>
    <row r="3" spans="1:8" x14ac:dyDescent="0.25">
      <c r="A3" s="49" t="s">
        <v>189</v>
      </c>
      <c r="B3" s="15"/>
      <c r="C3" s="15"/>
      <c r="D3" s="15"/>
      <c r="E3" s="42"/>
      <c r="F3" s="3"/>
      <c r="G3" s="3"/>
      <c r="H3" s="30"/>
    </row>
    <row r="4" spans="1:8" ht="15.75" thickBot="1" x14ac:dyDescent="0.3">
      <c r="A4" s="44" t="s">
        <v>190</v>
      </c>
      <c r="B4" s="50"/>
      <c r="C4" s="50"/>
      <c r="D4" s="50"/>
      <c r="E4" s="50"/>
      <c r="F4" s="11"/>
      <c r="G4" s="11"/>
      <c r="H4" s="31"/>
    </row>
    <row r="5" spans="1:8" ht="15.75" thickBot="1" x14ac:dyDescent="0.3">
      <c r="A5" s="13" t="s">
        <v>192</v>
      </c>
      <c r="B5" s="6"/>
      <c r="C5" s="5"/>
      <c r="D5" s="5"/>
      <c r="E5" s="5"/>
      <c r="F5" s="5"/>
      <c r="G5" s="5"/>
      <c r="H5" s="6"/>
    </row>
    <row r="6" spans="1:8" x14ac:dyDescent="0.25">
      <c r="A6" t="s">
        <v>39</v>
      </c>
    </row>
    <row r="7" spans="1:8" x14ac:dyDescent="0.25">
      <c r="A7" t="s">
        <v>0</v>
      </c>
      <c r="F7">
        <f>_xlfn.NORM.S.DIST(-0.5,1)</f>
        <v>0.30853753872598688</v>
      </c>
      <c r="G7">
        <f>1-F7</f>
        <v>0.69146246127401312</v>
      </c>
    </row>
    <row r="8" spans="1:8" x14ac:dyDescent="0.25">
      <c r="A8" t="s">
        <v>40</v>
      </c>
    </row>
    <row r="9" spans="1:8" x14ac:dyDescent="0.25">
      <c r="A9" t="s">
        <v>1</v>
      </c>
      <c r="B9">
        <f>SQRT(0.1)</f>
        <v>0.31622776601683794</v>
      </c>
      <c r="C9" t="s">
        <v>3</v>
      </c>
      <c r="E9">
        <f>0.4^2</f>
        <v>0.16000000000000003</v>
      </c>
    </row>
    <row r="10" spans="1:8" x14ac:dyDescent="0.25">
      <c r="A10" t="s">
        <v>2</v>
      </c>
      <c r="E10">
        <f>0.5*0.4*0.316</f>
        <v>6.3200000000000006E-2</v>
      </c>
    </row>
    <row r="11" spans="1:8" x14ac:dyDescent="0.25">
      <c r="A11" t="s">
        <v>4</v>
      </c>
      <c r="E11">
        <f>0.16+0.1+2*0.063</f>
        <v>0.38600000000000001</v>
      </c>
    </row>
    <row r="12" spans="1:8" ht="15.75" thickBot="1" x14ac:dyDescent="0.3">
      <c r="A12" t="s">
        <v>5</v>
      </c>
      <c r="E12">
        <f>3.2+1.8</f>
        <v>5</v>
      </c>
    </row>
    <row r="13" spans="1:8" ht="15.75" thickBot="1" x14ac:dyDescent="0.3">
      <c r="A13" s="13" t="s">
        <v>193</v>
      </c>
      <c r="B13" s="6"/>
      <c r="C13" s="5"/>
      <c r="D13" s="5"/>
      <c r="E13" s="5"/>
      <c r="F13" s="5"/>
      <c r="G13" s="5"/>
      <c r="H13" s="6"/>
    </row>
    <row r="14" spans="1:8" x14ac:dyDescent="0.25">
      <c r="A14" t="s">
        <v>41</v>
      </c>
    </row>
    <row r="15" spans="1:8" x14ac:dyDescent="0.25">
      <c r="A15" t="s">
        <v>6</v>
      </c>
      <c r="F15">
        <f>1-_xlfn.NORM.S.DIST(-1,1)</f>
        <v>0.84134474606854304</v>
      </c>
    </row>
    <row r="16" spans="1:8" x14ac:dyDescent="0.25">
      <c r="A16" t="s">
        <v>42</v>
      </c>
    </row>
    <row r="17" spans="1:8" x14ac:dyDescent="0.25">
      <c r="A17" t="s">
        <v>1</v>
      </c>
      <c r="B17">
        <f>SQRT(0.1)</f>
        <v>0.31622776601683794</v>
      </c>
      <c r="C17" t="s">
        <v>3</v>
      </c>
      <c r="E17">
        <f>0.3^2</f>
        <v>0.09</v>
      </c>
    </row>
    <row r="18" spans="1:8" x14ac:dyDescent="0.25">
      <c r="A18" t="s">
        <v>7</v>
      </c>
      <c r="E18">
        <f>-0.5*0.3*0.316</f>
        <v>-4.7399999999999998E-2</v>
      </c>
    </row>
    <row r="19" spans="1:8" x14ac:dyDescent="0.25">
      <c r="A19" t="s">
        <v>8</v>
      </c>
      <c r="E19">
        <f>0.09+0.1-2*0.047</f>
        <v>9.6000000000000002E-2</v>
      </c>
    </row>
    <row r="20" spans="1:8" ht="15.75" thickBot="1" x14ac:dyDescent="0.3">
      <c r="A20" t="s">
        <v>9</v>
      </c>
      <c r="E20">
        <f>2.3+1.8</f>
        <v>4.0999999999999996</v>
      </c>
    </row>
    <row r="21" spans="1:8" ht="15.75" thickBot="1" x14ac:dyDescent="0.3">
      <c r="A21" s="13" t="s">
        <v>194</v>
      </c>
      <c r="B21" s="6"/>
      <c r="C21" s="5"/>
      <c r="D21" s="5"/>
      <c r="E21" s="5"/>
      <c r="F21" s="5"/>
      <c r="G21" s="5"/>
      <c r="H21" s="6"/>
    </row>
    <row r="22" spans="1:8" x14ac:dyDescent="0.25">
      <c r="A22" t="s">
        <v>10</v>
      </c>
      <c r="B22" t="s">
        <v>12</v>
      </c>
    </row>
    <row r="23" spans="1:8" x14ac:dyDescent="0.25">
      <c r="A23" s="2" t="s">
        <v>43</v>
      </c>
      <c r="C23">
        <f>_xlfn.POISSON.DIST(3,5,1)</f>
        <v>0.26502591529736169</v>
      </c>
    </row>
    <row r="24" spans="1:8" x14ac:dyDescent="0.25">
      <c r="A24" s="2" t="s">
        <v>44</v>
      </c>
      <c r="B24" t="s">
        <v>11</v>
      </c>
      <c r="E24">
        <f>(4^2)*5</f>
        <v>80</v>
      </c>
    </row>
    <row r="25" spans="1:8" ht="15.75" thickBot="1" x14ac:dyDescent="0.3">
      <c r="A25" s="2" t="s">
        <v>1</v>
      </c>
      <c r="E25">
        <f>SQRT(E24)</f>
        <v>8.9442719099991592</v>
      </c>
    </row>
    <row r="26" spans="1:8" ht="15.75" thickBot="1" x14ac:dyDescent="0.3">
      <c r="A26" s="13" t="s">
        <v>196</v>
      </c>
      <c r="B26" s="6"/>
      <c r="C26" s="5"/>
      <c r="D26" s="5"/>
      <c r="E26" s="5"/>
      <c r="F26" s="5"/>
      <c r="G26" s="5"/>
      <c r="H26" s="6"/>
    </row>
    <row r="27" spans="1:8" x14ac:dyDescent="0.25">
      <c r="A27" t="s">
        <v>13</v>
      </c>
      <c r="B27" t="s">
        <v>14</v>
      </c>
    </row>
    <row r="28" spans="1:8" x14ac:dyDescent="0.25">
      <c r="A28" s="2" t="s">
        <v>37</v>
      </c>
      <c r="C28">
        <f>1-_xlfn.POISSON.DIST(5,4,1)</f>
        <v>0.21486961296959484</v>
      </c>
    </row>
    <row r="29" spans="1:8" x14ac:dyDescent="0.25">
      <c r="A29" s="2" t="s">
        <v>38</v>
      </c>
      <c r="B29" t="s">
        <v>11</v>
      </c>
      <c r="E29">
        <f>(4^2)*4</f>
        <v>64</v>
      </c>
    </row>
    <row r="30" spans="1:8" ht="15.75" thickBot="1" x14ac:dyDescent="0.3">
      <c r="A30" s="2" t="s">
        <v>1</v>
      </c>
      <c r="E30">
        <f>SQRT(E29)</f>
        <v>8</v>
      </c>
    </row>
    <row r="31" spans="1:8" ht="15.75" thickBot="1" x14ac:dyDescent="0.3">
      <c r="A31" s="13" t="s">
        <v>195</v>
      </c>
      <c r="B31" s="6"/>
      <c r="C31" s="5"/>
      <c r="D31" s="5"/>
      <c r="E31" s="5"/>
      <c r="F31" s="5"/>
      <c r="G31" s="5"/>
      <c r="H31" s="6"/>
    </row>
    <row r="32" spans="1:8" x14ac:dyDescent="0.25">
      <c r="A32" t="s">
        <v>24</v>
      </c>
    </row>
    <row r="33" spans="1:7" x14ac:dyDescent="0.25">
      <c r="A33" s="15" t="s">
        <v>55</v>
      </c>
    </row>
    <row r="34" spans="1:7" x14ac:dyDescent="0.25">
      <c r="A34" s="2" t="s">
        <v>15</v>
      </c>
      <c r="B34">
        <f>_xlfn.BINOM.DIST(0,2,0.6,0)</f>
        <v>0.16000000000000003</v>
      </c>
      <c r="C34" t="s">
        <v>16</v>
      </c>
      <c r="E34">
        <f>_xlfn.BINOM.DIST(1,2,0.6,0)</f>
        <v>0.48</v>
      </c>
      <c r="F34" t="s">
        <v>17</v>
      </c>
      <c r="G34">
        <f>_xlfn.BINOM.DIST(2,2,0.6,0)</f>
        <v>0.36</v>
      </c>
    </row>
    <row r="35" spans="1:7" x14ac:dyDescent="0.25">
      <c r="A35" s="2" t="s">
        <v>35</v>
      </c>
    </row>
    <row r="36" spans="1:7" x14ac:dyDescent="0.25">
      <c r="A36" s="2" t="s">
        <v>18</v>
      </c>
      <c r="E36">
        <f>B34*B34</f>
        <v>2.5600000000000012E-2</v>
      </c>
    </row>
    <row r="37" spans="1:7" x14ac:dyDescent="0.25">
      <c r="A37" s="2" t="s">
        <v>19</v>
      </c>
      <c r="E37">
        <f>B34*E34</f>
        <v>7.6800000000000007E-2</v>
      </c>
    </row>
    <row r="38" spans="1:7" x14ac:dyDescent="0.25">
      <c r="A38" t="s">
        <v>20</v>
      </c>
      <c r="E38">
        <f>B34*G34</f>
        <v>5.7600000000000012E-2</v>
      </c>
    </row>
    <row r="39" spans="1:7" x14ac:dyDescent="0.25">
      <c r="A39" t="s">
        <v>21</v>
      </c>
      <c r="E39">
        <f>E34*E34</f>
        <v>0.23039999999999999</v>
      </c>
    </row>
    <row r="40" spans="1:7" x14ac:dyDescent="0.25">
      <c r="A40" t="s">
        <v>22</v>
      </c>
      <c r="E40">
        <f>E34*G34</f>
        <v>0.17279999999999998</v>
      </c>
    </row>
    <row r="41" spans="1:7" x14ac:dyDescent="0.25">
      <c r="A41" t="s">
        <v>23</v>
      </c>
      <c r="E41">
        <f>G34*G34</f>
        <v>0.12959999999999999</v>
      </c>
    </row>
    <row r="42" spans="1:7" x14ac:dyDescent="0.25">
      <c r="A42" t="s">
        <v>36</v>
      </c>
      <c r="B42" t="s">
        <v>136</v>
      </c>
    </row>
    <row r="43" spans="1:7" x14ac:dyDescent="0.25">
      <c r="A43" t="s">
        <v>137</v>
      </c>
    </row>
    <row r="49" spans="1:8" ht="15.75" thickBot="1" x14ac:dyDescent="0.3"/>
    <row r="50" spans="1:8" ht="15.75" thickBot="1" x14ac:dyDescent="0.3">
      <c r="A50" s="1" t="s">
        <v>25</v>
      </c>
      <c r="B50" s="1" t="s">
        <v>26</v>
      </c>
      <c r="C50" s="1" t="s">
        <v>27</v>
      </c>
      <c r="D50" s="4" t="s">
        <v>33</v>
      </c>
      <c r="E50" s="5"/>
      <c r="F50" s="5"/>
      <c r="G50" s="6"/>
      <c r="H50" t="s">
        <v>280</v>
      </c>
    </row>
    <row r="51" spans="1:8" x14ac:dyDescent="0.25">
      <c r="A51" s="7">
        <v>0</v>
      </c>
      <c r="B51" s="7">
        <v>0</v>
      </c>
      <c r="C51" s="7">
        <f>A51-B51</f>
        <v>0</v>
      </c>
      <c r="D51" s="9" t="s">
        <v>28</v>
      </c>
      <c r="E51" s="3"/>
      <c r="F51" s="3"/>
      <c r="G51" s="30">
        <f>E36+E39+E41</f>
        <v>0.3856</v>
      </c>
    </row>
    <row r="52" spans="1:8" x14ac:dyDescent="0.25">
      <c r="A52" s="7">
        <v>0</v>
      </c>
      <c r="B52" s="7">
        <v>1</v>
      </c>
      <c r="C52" s="7">
        <f t="shared" ref="C52:C59" si="0">A52-B52</f>
        <v>-1</v>
      </c>
      <c r="D52" s="9" t="s">
        <v>29</v>
      </c>
      <c r="E52" s="3"/>
      <c r="F52" s="3"/>
      <c r="G52" s="30">
        <f>E37+E40</f>
        <v>0.24959999999999999</v>
      </c>
    </row>
    <row r="53" spans="1:8" x14ac:dyDescent="0.25">
      <c r="A53" s="7">
        <v>0</v>
      </c>
      <c r="B53" s="7">
        <v>2</v>
      </c>
      <c r="C53" s="7">
        <f t="shared" si="0"/>
        <v>-2</v>
      </c>
      <c r="D53" s="9" t="s">
        <v>30</v>
      </c>
      <c r="E53" s="3"/>
      <c r="F53" s="3"/>
      <c r="G53" s="30">
        <f>E38</f>
        <v>5.7600000000000012E-2</v>
      </c>
    </row>
    <row r="54" spans="1:8" x14ac:dyDescent="0.25">
      <c r="A54" s="7">
        <v>1</v>
      </c>
      <c r="B54" s="7">
        <v>0</v>
      </c>
      <c r="C54" s="7">
        <f t="shared" si="0"/>
        <v>1</v>
      </c>
      <c r="D54" s="9" t="s">
        <v>32</v>
      </c>
      <c r="E54" s="3"/>
      <c r="F54" s="3"/>
      <c r="G54" s="30">
        <f>E37+E40</f>
        <v>0.24959999999999999</v>
      </c>
    </row>
    <row r="55" spans="1:8" x14ac:dyDescent="0.25">
      <c r="A55" s="7">
        <v>1</v>
      </c>
      <c r="B55" s="7">
        <v>1</v>
      </c>
      <c r="C55" s="7">
        <f t="shared" si="0"/>
        <v>0</v>
      </c>
      <c r="D55" s="9"/>
      <c r="E55" s="3"/>
      <c r="F55" s="3"/>
      <c r="G55" s="30"/>
    </row>
    <row r="56" spans="1:8" x14ac:dyDescent="0.25">
      <c r="A56" s="7">
        <v>1</v>
      </c>
      <c r="B56" s="7">
        <v>2</v>
      </c>
      <c r="C56" s="7">
        <f t="shared" si="0"/>
        <v>-1</v>
      </c>
      <c r="D56" s="9"/>
      <c r="E56" s="3"/>
      <c r="F56" s="3"/>
      <c r="G56" s="30"/>
    </row>
    <row r="57" spans="1:8" x14ac:dyDescent="0.25">
      <c r="A57" s="7">
        <v>2</v>
      </c>
      <c r="B57" s="7">
        <v>0</v>
      </c>
      <c r="C57" s="7">
        <f t="shared" si="0"/>
        <v>2</v>
      </c>
      <c r="D57" s="9" t="s">
        <v>31</v>
      </c>
      <c r="E57" s="3"/>
      <c r="F57" s="3"/>
      <c r="G57" s="30">
        <f>E38</f>
        <v>5.7600000000000012E-2</v>
      </c>
    </row>
    <row r="58" spans="1:8" x14ac:dyDescent="0.25">
      <c r="A58" s="7">
        <v>2</v>
      </c>
      <c r="B58" s="7">
        <v>1</v>
      </c>
      <c r="C58" s="7">
        <f t="shared" si="0"/>
        <v>1</v>
      </c>
      <c r="D58" s="9"/>
      <c r="E58" s="3"/>
      <c r="F58" s="3"/>
      <c r="G58" s="30"/>
    </row>
    <row r="59" spans="1:8" ht="15.75" thickBot="1" x14ac:dyDescent="0.3">
      <c r="A59" s="8">
        <v>2</v>
      </c>
      <c r="B59" s="8">
        <v>2</v>
      </c>
      <c r="C59" s="8">
        <f t="shared" si="0"/>
        <v>0</v>
      </c>
      <c r="D59" s="10"/>
      <c r="E59" s="11"/>
      <c r="F59" s="11"/>
      <c r="G59" s="31"/>
    </row>
    <row r="60" spans="1:8" ht="15.75" thickBot="1" x14ac:dyDescent="0.3">
      <c r="D60" s="4" t="s">
        <v>34</v>
      </c>
      <c r="E60" s="5"/>
      <c r="F60" s="5"/>
      <c r="G60" s="6">
        <f>SUM(G51:G59)</f>
        <v>0.99999999999999989</v>
      </c>
    </row>
    <row r="61" spans="1:8" ht="15.75" thickBot="1" x14ac:dyDescent="0.3">
      <c r="A61" t="s">
        <v>45</v>
      </c>
      <c r="E61">
        <f>E37+E38+E40</f>
        <v>0.30720000000000003</v>
      </c>
    </row>
    <row r="62" spans="1:8" ht="15.75" thickBot="1" x14ac:dyDescent="0.3">
      <c r="A62" s="13" t="s">
        <v>197</v>
      </c>
      <c r="B62" s="6"/>
      <c r="C62" s="5"/>
      <c r="D62" s="5"/>
      <c r="E62" s="5"/>
      <c r="F62" s="5"/>
      <c r="G62" s="5"/>
      <c r="H62" s="6"/>
    </row>
    <row r="63" spans="1:8" x14ac:dyDescent="0.25">
      <c r="A63" t="s">
        <v>46</v>
      </c>
    </row>
    <row r="64" spans="1:8" x14ac:dyDescent="0.25">
      <c r="A64" s="15" t="s">
        <v>55</v>
      </c>
    </row>
    <row r="65" spans="1:7" x14ac:dyDescent="0.25">
      <c r="A65" s="2" t="s">
        <v>15</v>
      </c>
      <c r="B65">
        <f>_xlfn.BINOM.DIST(0,2,0.4,0)</f>
        <v>0.36</v>
      </c>
      <c r="C65" t="s">
        <v>16</v>
      </c>
      <c r="E65">
        <f>_xlfn.BINOM.DIST(1,2,0.4,0)</f>
        <v>0.48</v>
      </c>
      <c r="F65" t="s">
        <v>17</v>
      </c>
      <c r="G65">
        <f>_xlfn.BINOM.DIST(2,2,0.4,0)</f>
        <v>0.16000000000000003</v>
      </c>
    </row>
    <row r="66" spans="1:7" x14ac:dyDescent="0.25">
      <c r="A66" s="2" t="s">
        <v>35</v>
      </c>
    </row>
    <row r="67" spans="1:7" x14ac:dyDescent="0.25">
      <c r="A67" s="2" t="s">
        <v>18</v>
      </c>
      <c r="E67">
        <f>B65*B65</f>
        <v>0.12959999999999999</v>
      </c>
    </row>
    <row r="68" spans="1:7" x14ac:dyDescent="0.25">
      <c r="A68" s="2" t="s">
        <v>19</v>
      </c>
      <c r="E68">
        <f>B65*E65</f>
        <v>0.17279999999999998</v>
      </c>
    </row>
    <row r="69" spans="1:7" x14ac:dyDescent="0.25">
      <c r="A69" t="s">
        <v>20</v>
      </c>
      <c r="E69">
        <f>B65*G65</f>
        <v>5.7600000000000012E-2</v>
      </c>
    </row>
    <row r="70" spans="1:7" x14ac:dyDescent="0.25">
      <c r="A70" t="s">
        <v>21</v>
      </c>
      <c r="E70">
        <f>E65*E65</f>
        <v>0.23039999999999999</v>
      </c>
    </row>
    <row r="71" spans="1:7" x14ac:dyDescent="0.25">
      <c r="A71" t="s">
        <v>22</v>
      </c>
      <c r="E71">
        <f>E65*G65</f>
        <v>7.6800000000000007E-2</v>
      </c>
    </row>
    <row r="72" spans="1:7" x14ac:dyDescent="0.25">
      <c r="A72" t="s">
        <v>23</v>
      </c>
      <c r="E72">
        <f>G65*G65</f>
        <v>2.5600000000000012E-2</v>
      </c>
    </row>
    <row r="73" spans="1:7" x14ac:dyDescent="0.25">
      <c r="A73" t="s">
        <v>47</v>
      </c>
      <c r="B73" t="s">
        <v>138</v>
      </c>
    </row>
    <row r="74" spans="1:7" ht="15.75" thickBot="1" x14ac:dyDescent="0.3">
      <c r="A74" t="s">
        <v>137</v>
      </c>
    </row>
    <row r="75" spans="1:7" ht="15.75" thickBot="1" x14ac:dyDescent="0.3">
      <c r="A75" s="1" t="s">
        <v>25</v>
      </c>
      <c r="B75" s="1" t="s">
        <v>26</v>
      </c>
      <c r="C75" s="1" t="s">
        <v>48</v>
      </c>
      <c r="D75" s="4" t="s">
        <v>33</v>
      </c>
      <c r="E75" s="5"/>
      <c r="F75" s="5"/>
      <c r="G75" s="6"/>
    </row>
    <row r="76" spans="1:7" x14ac:dyDescent="0.25">
      <c r="A76" s="7">
        <v>0</v>
      </c>
      <c r="B76" s="7">
        <v>0</v>
      </c>
      <c r="C76" s="7">
        <f>A76+B76</f>
        <v>0</v>
      </c>
      <c r="D76" s="29" t="s">
        <v>50</v>
      </c>
      <c r="E76" s="32"/>
      <c r="F76" s="32"/>
      <c r="G76" s="18">
        <f>E67</f>
        <v>0.12959999999999999</v>
      </c>
    </row>
    <row r="77" spans="1:7" x14ac:dyDescent="0.25">
      <c r="A77" s="7">
        <v>0</v>
      </c>
      <c r="B77" s="7">
        <v>1</v>
      </c>
      <c r="C77" s="7">
        <f t="shared" ref="C77:C84" si="1">A77+B77</f>
        <v>1</v>
      </c>
      <c r="D77" s="9" t="s">
        <v>49</v>
      </c>
      <c r="E77" s="3"/>
      <c r="F77" s="3"/>
      <c r="G77" s="30">
        <f>E68+E68</f>
        <v>0.34559999999999996</v>
      </c>
    </row>
    <row r="78" spans="1:7" x14ac:dyDescent="0.25">
      <c r="A78" s="7">
        <v>0</v>
      </c>
      <c r="B78" s="7">
        <v>2</v>
      </c>
      <c r="C78" s="7">
        <f t="shared" si="1"/>
        <v>2</v>
      </c>
      <c r="D78" s="9" t="s">
        <v>51</v>
      </c>
      <c r="E78" s="3"/>
      <c r="F78" s="3"/>
      <c r="G78" s="30">
        <f>E69+E69+E70</f>
        <v>0.34560000000000002</v>
      </c>
    </row>
    <row r="79" spans="1:7" x14ac:dyDescent="0.25">
      <c r="A79" s="7">
        <v>1</v>
      </c>
      <c r="B79" s="7">
        <v>0</v>
      </c>
      <c r="C79" s="7">
        <f t="shared" si="1"/>
        <v>1</v>
      </c>
      <c r="D79" s="9"/>
      <c r="E79" s="3"/>
      <c r="F79" s="3"/>
      <c r="G79" s="30"/>
    </row>
    <row r="80" spans="1:7" x14ac:dyDescent="0.25">
      <c r="A80" s="7">
        <v>1</v>
      </c>
      <c r="B80" s="7">
        <v>1</v>
      </c>
      <c r="C80" s="7">
        <f t="shared" si="1"/>
        <v>2</v>
      </c>
      <c r="D80" s="9"/>
      <c r="E80" s="3"/>
      <c r="F80" s="3"/>
      <c r="G80" s="30"/>
    </row>
    <row r="81" spans="1:8" x14ac:dyDescent="0.25">
      <c r="A81" s="7">
        <v>1</v>
      </c>
      <c r="B81" s="7">
        <v>2</v>
      </c>
      <c r="C81" s="7">
        <f t="shared" si="1"/>
        <v>3</v>
      </c>
      <c r="D81" s="9" t="s">
        <v>52</v>
      </c>
      <c r="E81" s="3"/>
      <c r="F81" s="3"/>
      <c r="G81" s="30">
        <f>E71+E71</f>
        <v>0.15360000000000001</v>
      </c>
    </row>
    <row r="82" spans="1:8" x14ac:dyDescent="0.25">
      <c r="A82" s="7">
        <v>2</v>
      </c>
      <c r="B82" s="7">
        <v>0</v>
      </c>
      <c r="C82" s="7">
        <f t="shared" si="1"/>
        <v>2</v>
      </c>
      <c r="D82" s="9"/>
      <c r="E82" s="3"/>
      <c r="F82" s="3"/>
      <c r="G82" s="30"/>
    </row>
    <row r="83" spans="1:8" x14ac:dyDescent="0.25">
      <c r="A83" s="7">
        <v>2</v>
      </c>
      <c r="B83" s="7">
        <v>1</v>
      </c>
      <c r="C83" s="7">
        <f t="shared" si="1"/>
        <v>3</v>
      </c>
      <c r="D83" s="9"/>
      <c r="E83" s="3"/>
      <c r="F83" s="3"/>
      <c r="G83" s="30"/>
    </row>
    <row r="84" spans="1:8" ht="15.75" thickBot="1" x14ac:dyDescent="0.3">
      <c r="A84" s="8">
        <v>2</v>
      </c>
      <c r="B84" s="8">
        <v>2</v>
      </c>
      <c r="C84" s="8">
        <f t="shared" si="1"/>
        <v>4</v>
      </c>
      <c r="D84" s="10" t="s">
        <v>53</v>
      </c>
      <c r="E84" s="11"/>
      <c r="F84" s="11"/>
      <c r="G84" s="31">
        <f>E72</f>
        <v>2.5600000000000012E-2</v>
      </c>
    </row>
    <row r="85" spans="1:8" ht="15.75" thickBot="1" x14ac:dyDescent="0.3">
      <c r="D85" s="4" t="s">
        <v>34</v>
      </c>
      <c r="E85" s="5"/>
      <c r="F85" s="5"/>
      <c r="G85" s="6">
        <f>SUM(G76:G84)</f>
        <v>1</v>
      </c>
    </row>
    <row r="86" spans="1:8" ht="15.75" thickBot="1" x14ac:dyDescent="0.3">
      <c r="A86" t="s">
        <v>54</v>
      </c>
      <c r="E86">
        <f>E68+E69+E71</f>
        <v>0.30720000000000003</v>
      </c>
    </row>
    <row r="87" spans="1:8" x14ac:dyDescent="0.25">
      <c r="A87" s="43" t="s">
        <v>233</v>
      </c>
      <c r="B87" s="32"/>
      <c r="C87" s="32"/>
      <c r="D87" s="32"/>
      <c r="E87" s="32"/>
      <c r="F87" s="32"/>
      <c r="G87" s="32"/>
      <c r="H87" s="18"/>
    </row>
    <row r="88" spans="1:8" ht="15.75" thickBot="1" x14ac:dyDescent="0.3">
      <c r="A88" s="44" t="s">
        <v>234</v>
      </c>
      <c r="B88" s="11"/>
      <c r="C88" s="11"/>
      <c r="D88" s="11"/>
      <c r="E88" s="11"/>
      <c r="F88" s="11"/>
      <c r="G88" s="11"/>
      <c r="H88" s="31"/>
    </row>
    <row r="89" spans="1:8" x14ac:dyDescent="0.25">
      <c r="A89" t="s">
        <v>56</v>
      </c>
      <c r="E89">
        <v>300</v>
      </c>
    </row>
    <row r="90" spans="1:8" x14ac:dyDescent="0.25">
      <c r="A90" t="s">
        <v>57</v>
      </c>
      <c r="E90">
        <v>5480</v>
      </c>
    </row>
    <row r="91" spans="1:8" x14ac:dyDescent="0.25">
      <c r="A91" t="s">
        <v>58</v>
      </c>
      <c r="F91">
        <v>100200</v>
      </c>
    </row>
    <row r="92" spans="1:8" x14ac:dyDescent="0.25">
      <c r="A92" t="s">
        <v>59</v>
      </c>
      <c r="F92">
        <f>E90/E89</f>
        <v>18.266666666666666</v>
      </c>
    </row>
    <row r="93" spans="1:8" x14ac:dyDescent="0.25">
      <c r="A93" t="s">
        <v>140</v>
      </c>
    </row>
    <row r="94" spans="1:8" x14ac:dyDescent="0.25">
      <c r="A94" t="s">
        <v>139</v>
      </c>
    </row>
    <row r="95" spans="1:8" x14ac:dyDescent="0.25">
      <c r="A95" t="s">
        <v>60</v>
      </c>
      <c r="F95">
        <f>(F91/E89)-(F92^2)</f>
        <v>0.32888888888891188</v>
      </c>
    </row>
    <row r="96" spans="1:8" x14ac:dyDescent="0.25">
      <c r="A96" t="s">
        <v>66</v>
      </c>
      <c r="F96">
        <f>SQRT(F95)</f>
        <v>0.57348835113619512</v>
      </c>
    </row>
    <row r="97" spans="1:9" x14ac:dyDescent="0.25">
      <c r="A97" t="s">
        <v>61</v>
      </c>
      <c r="E97" t="s">
        <v>62</v>
      </c>
      <c r="F97">
        <f>NORMSINV(0.975)</f>
        <v>1.9599639845400536</v>
      </c>
    </row>
    <row r="98" spans="1:9" x14ac:dyDescent="0.25">
      <c r="A98" t="s">
        <v>63</v>
      </c>
      <c r="F98">
        <f>SQRT(F95/E89)</f>
        <v>3.3110365390559691E-2</v>
      </c>
    </row>
    <row r="99" spans="1:9" x14ac:dyDescent="0.25">
      <c r="A99" t="s">
        <v>69</v>
      </c>
      <c r="F99">
        <f>F97*F98</f>
        <v>6.4895123680458466E-2</v>
      </c>
      <c r="H99" t="s">
        <v>281</v>
      </c>
    </row>
    <row r="100" spans="1:9" x14ac:dyDescent="0.25">
      <c r="A100" t="s">
        <v>64</v>
      </c>
      <c r="G100">
        <f>F92-F99</f>
        <v>18.201771542986208</v>
      </c>
    </row>
    <row r="101" spans="1:9" x14ac:dyDescent="0.25">
      <c r="A101" t="s">
        <v>65</v>
      </c>
      <c r="G101">
        <f>F92+F99</f>
        <v>18.331561790347124</v>
      </c>
    </row>
    <row r="102" spans="1:9" x14ac:dyDescent="0.25">
      <c r="A102" t="s">
        <v>74</v>
      </c>
    </row>
    <row r="103" spans="1:9" x14ac:dyDescent="0.25">
      <c r="A103" t="s">
        <v>70</v>
      </c>
      <c r="C103">
        <v>0.95</v>
      </c>
      <c r="E103" t="s">
        <v>67</v>
      </c>
      <c r="F103">
        <f>NORMSINV(0.95)</f>
        <v>1.6448536269514715</v>
      </c>
    </row>
    <row r="104" spans="1:9" x14ac:dyDescent="0.25">
      <c r="A104" t="s">
        <v>68</v>
      </c>
      <c r="F104">
        <f>F98*F103</f>
        <v>5.4461704602350586E-2</v>
      </c>
    </row>
    <row r="105" spans="1:9" x14ac:dyDescent="0.25">
      <c r="A105" t="s">
        <v>71</v>
      </c>
      <c r="G105">
        <f>18+F104</f>
        <v>18.05446170460235</v>
      </c>
    </row>
    <row r="106" spans="1:9" x14ac:dyDescent="0.25">
      <c r="A106" t="s">
        <v>72</v>
      </c>
      <c r="F106">
        <f>F92</f>
        <v>18.266666666666666</v>
      </c>
      <c r="G106" s="16" t="s">
        <v>73</v>
      </c>
      <c r="H106">
        <f>G105</f>
        <v>18.05446170460235</v>
      </c>
    </row>
    <row r="107" spans="1:9" x14ac:dyDescent="0.25">
      <c r="A107" t="s">
        <v>240</v>
      </c>
      <c r="C107" s="57" t="s">
        <v>142</v>
      </c>
      <c r="D107" s="41"/>
      <c r="E107" s="41"/>
      <c r="F107">
        <f>(F106-18)/F98</f>
        <v>8.0538726625679811</v>
      </c>
      <c r="G107" s="16" t="s">
        <v>73</v>
      </c>
      <c r="H107">
        <f>F103</f>
        <v>1.6448536269514715</v>
      </c>
      <c r="I107" t="s">
        <v>141</v>
      </c>
    </row>
    <row r="108" spans="1:9" ht="15.75" thickBot="1" x14ac:dyDescent="0.3">
      <c r="A108" t="s">
        <v>75</v>
      </c>
    </row>
    <row r="109" spans="1:9" x14ac:dyDescent="0.25">
      <c r="A109" s="43" t="s">
        <v>230</v>
      </c>
      <c r="B109" s="32"/>
      <c r="C109" s="32"/>
      <c r="D109" s="32"/>
      <c r="E109" s="32"/>
      <c r="F109" s="32"/>
      <c r="G109" s="32"/>
      <c r="H109" s="18"/>
    </row>
    <row r="110" spans="1:9" x14ac:dyDescent="0.25">
      <c r="A110" s="45" t="s">
        <v>231</v>
      </c>
      <c r="B110" s="3"/>
      <c r="C110" s="3"/>
      <c r="D110" s="3"/>
      <c r="E110" s="3"/>
      <c r="F110" s="3"/>
      <c r="G110" s="3"/>
      <c r="H110" s="30"/>
    </row>
    <row r="111" spans="1:9" ht="15.75" thickBot="1" x14ac:dyDescent="0.3">
      <c r="A111" s="46" t="s">
        <v>232</v>
      </c>
      <c r="B111" s="11"/>
      <c r="C111" s="11"/>
      <c r="D111" s="11"/>
      <c r="E111" s="11"/>
      <c r="F111" s="11"/>
      <c r="G111" s="11"/>
      <c r="H111" s="31"/>
    </row>
    <row r="112" spans="1:9" x14ac:dyDescent="0.25">
      <c r="A112" t="s">
        <v>56</v>
      </c>
      <c r="E112">
        <v>400</v>
      </c>
    </row>
    <row r="113" spans="1:7" x14ac:dyDescent="0.25">
      <c r="A113" t="s">
        <v>57</v>
      </c>
      <c r="E113">
        <v>7280</v>
      </c>
    </row>
    <row r="114" spans="1:7" x14ac:dyDescent="0.25">
      <c r="A114" t="s">
        <v>58</v>
      </c>
      <c r="F114">
        <v>135200</v>
      </c>
    </row>
    <row r="115" spans="1:7" x14ac:dyDescent="0.25">
      <c r="A115" t="s">
        <v>59</v>
      </c>
      <c r="F115">
        <f>E113/E112</f>
        <v>18.2</v>
      </c>
    </row>
    <row r="116" spans="1:7" x14ac:dyDescent="0.25">
      <c r="A116" t="s">
        <v>140</v>
      </c>
    </row>
    <row r="117" spans="1:7" x14ac:dyDescent="0.25">
      <c r="A117" t="s">
        <v>139</v>
      </c>
    </row>
    <row r="118" spans="1:7" x14ac:dyDescent="0.25">
      <c r="A118" t="s">
        <v>60</v>
      </c>
      <c r="F118">
        <f>(F114/E112)-F115^2</f>
        <v>6.7600000000000477</v>
      </c>
    </row>
    <row r="119" spans="1:7" x14ac:dyDescent="0.25">
      <c r="A119" t="s">
        <v>66</v>
      </c>
      <c r="F119">
        <f>SQRT(F118)</f>
        <v>2.600000000000009</v>
      </c>
    </row>
    <row r="120" spans="1:7" x14ac:dyDescent="0.25">
      <c r="A120" t="s">
        <v>61</v>
      </c>
      <c r="E120" t="s">
        <v>62</v>
      </c>
      <c r="F120">
        <f>NORMSINV(0.975)</f>
        <v>1.9599639845400536</v>
      </c>
    </row>
    <row r="121" spans="1:7" x14ac:dyDescent="0.25">
      <c r="A121" t="s">
        <v>63</v>
      </c>
      <c r="F121">
        <f>SQRT(F118/E112)</f>
        <v>0.13000000000000045</v>
      </c>
    </row>
    <row r="122" spans="1:7" x14ac:dyDescent="0.25">
      <c r="A122" t="s">
        <v>69</v>
      </c>
      <c r="F122">
        <f>F120*F121</f>
        <v>0.25479531799020783</v>
      </c>
    </row>
    <row r="123" spans="1:7" x14ac:dyDescent="0.25">
      <c r="A123" t="s">
        <v>64</v>
      </c>
      <c r="G123">
        <f>F115-F122</f>
        <v>17.945204682009791</v>
      </c>
    </row>
    <row r="124" spans="1:7" x14ac:dyDescent="0.25">
      <c r="A124" t="s">
        <v>65</v>
      </c>
      <c r="G124">
        <f>F115+F122</f>
        <v>18.454795317990207</v>
      </c>
    </row>
    <row r="125" spans="1:7" x14ac:dyDescent="0.25">
      <c r="A125" t="s">
        <v>74</v>
      </c>
    </row>
    <row r="126" spans="1:7" x14ac:dyDescent="0.25">
      <c r="A126" t="s">
        <v>70</v>
      </c>
      <c r="C126">
        <v>0.95</v>
      </c>
      <c r="E126" t="s">
        <v>67</v>
      </c>
      <c r="F126">
        <f>NORMSINV(0.95)</f>
        <v>1.6448536269514715</v>
      </c>
    </row>
    <row r="127" spans="1:7" x14ac:dyDescent="0.25">
      <c r="A127" t="s">
        <v>68</v>
      </c>
      <c r="F127">
        <f>F121*F126</f>
        <v>0.21383097150369204</v>
      </c>
    </row>
    <row r="128" spans="1:7" x14ac:dyDescent="0.25">
      <c r="A128" t="s">
        <v>71</v>
      </c>
      <c r="G128">
        <f>18+F127</f>
        <v>18.213830971503693</v>
      </c>
    </row>
    <row r="129" spans="1:9" x14ac:dyDescent="0.25">
      <c r="A129" t="s">
        <v>72</v>
      </c>
      <c r="F129">
        <f>F115</f>
        <v>18.2</v>
      </c>
      <c r="G129" s="16" t="s">
        <v>76</v>
      </c>
      <c r="H129">
        <f>G128</f>
        <v>18.213830971503693</v>
      </c>
    </row>
    <row r="130" spans="1:9" x14ac:dyDescent="0.25">
      <c r="A130" t="s">
        <v>240</v>
      </c>
      <c r="C130" s="57" t="s">
        <v>143</v>
      </c>
      <c r="D130" s="41"/>
      <c r="E130" s="41"/>
      <c r="F130">
        <f>(F129-18)/F121</f>
        <v>1.5384615384615277</v>
      </c>
      <c r="G130" s="16" t="s">
        <v>76</v>
      </c>
      <c r="H130">
        <f>F126</f>
        <v>1.6448536269514715</v>
      </c>
      <c r="I130" t="s">
        <v>141</v>
      </c>
    </row>
    <row r="131" spans="1:9" ht="15.75" thickBot="1" x14ac:dyDescent="0.3">
      <c r="A131" t="s">
        <v>77</v>
      </c>
    </row>
    <row r="132" spans="1:9" x14ac:dyDescent="0.25">
      <c r="A132" s="43" t="s">
        <v>156</v>
      </c>
      <c r="B132" s="32"/>
      <c r="C132" s="32"/>
      <c r="D132" s="32"/>
      <c r="E132" s="32"/>
      <c r="F132" s="32"/>
      <c r="G132" s="32"/>
      <c r="H132" s="18"/>
      <c r="I132" s="3"/>
    </row>
    <row r="133" spans="1:9" ht="15.75" thickBot="1" x14ac:dyDescent="0.3">
      <c r="A133" s="44" t="s">
        <v>157</v>
      </c>
      <c r="B133" s="11"/>
      <c r="C133" s="11"/>
      <c r="D133" s="11"/>
      <c r="E133" s="11"/>
      <c r="F133" s="11"/>
      <c r="G133" s="11"/>
      <c r="H133" s="31"/>
      <c r="I133" s="3"/>
    </row>
    <row r="134" spans="1:9" x14ac:dyDescent="0.25">
      <c r="A134" s="15" t="s">
        <v>78</v>
      </c>
      <c r="B134" s="15"/>
      <c r="C134" s="17"/>
      <c r="D134" s="17"/>
      <c r="E134" s="17"/>
      <c r="F134" s="17"/>
    </row>
    <row r="135" spans="1:9" x14ac:dyDescent="0.25">
      <c r="A135" t="s">
        <v>56</v>
      </c>
      <c r="E135">
        <v>150</v>
      </c>
    </row>
    <row r="136" spans="1:9" x14ac:dyDescent="0.25">
      <c r="A136" t="s">
        <v>57</v>
      </c>
      <c r="E136">
        <v>14</v>
      </c>
    </row>
    <row r="137" spans="1:9" x14ac:dyDescent="0.25">
      <c r="A137" t="s">
        <v>83</v>
      </c>
      <c r="G137">
        <f>E136/E135</f>
        <v>9.3333333333333338E-2</v>
      </c>
    </row>
    <row r="138" spans="1:9" x14ac:dyDescent="0.25">
      <c r="A138" t="s">
        <v>80</v>
      </c>
      <c r="E138" t="s">
        <v>79</v>
      </c>
      <c r="F138">
        <f>NORMSINV(0.995)</f>
        <v>2.5758293035488999</v>
      </c>
    </row>
    <row r="139" spans="1:9" x14ac:dyDescent="0.25">
      <c r="A139" t="s">
        <v>81</v>
      </c>
      <c r="F139">
        <f>G137*(1-G137)</f>
        <v>8.4622222222222224E-2</v>
      </c>
    </row>
    <row r="140" spans="1:9" x14ac:dyDescent="0.25">
      <c r="A140" t="s">
        <v>63</v>
      </c>
      <c r="F140">
        <f>SQRT(F139/E135)</f>
        <v>2.3751803050466466E-2</v>
      </c>
    </row>
    <row r="141" spans="1:9" x14ac:dyDescent="0.25">
      <c r="A141" t="s">
        <v>82</v>
      </c>
      <c r="F141">
        <f>F138*F140</f>
        <v>6.1180590309513672E-2</v>
      </c>
    </row>
    <row r="142" spans="1:9" x14ac:dyDescent="0.25">
      <c r="A142" t="s">
        <v>64</v>
      </c>
      <c r="G142">
        <f>G137-F141</f>
        <v>3.2152743023819666E-2</v>
      </c>
    </row>
    <row r="143" spans="1:9" x14ac:dyDescent="0.25">
      <c r="A143" t="s">
        <v>65</v>
      </c>
      <c r="G143">
        <f>G137+F141</f>
        <v>0.154513923642847</v>
      </c>
    </row>
    <row r="144" spans="1:9" x14ac:dyDescent="0.25">
      <c r="A144" s="14" t="s">
        <v>148</v>
      </c>
    </row>
    <row r="145" spans="1:9" x14ac:dyDescent="0.25">
      <c r="A145" t="s">
        <v>149</v>
      </c>
    </row>
    <row r="146" spans="1:9" x14ac:dyDescent="0.25">
      <c r="A146" t="s">
        <v>150</v>
      </c>
      <c r="C146">
        <v>0.9</v>
      </c>
      <c r="E146" t="s">
        <v>151</v>
      </c>
      <c r="F146">
        <f>NORMSINV(0.9)</f>
        <v>1.2815515655446006</v>
      </c>
    </row>
    <row r="147" spans="1:9" x14ac:dyDescent="0.25">
      <c r="A147" t="s">
        <v>145</v>
      </c>
      <c r="C147">
        <f>0.1*0.9</f>
        <v>9.0000000000000011E-2</v>
      </c>
    </row>
    <row r="148" spans="1:9" x14ac:dyDescent="0.25">
      <c r="A148" t="s">
        <v>146</v>
      </c>
      <c r="E148">
        <f>SQRT(C147/150)</f>
        <v>2.4494897427831782E-2</v>
      </c>
    </row>
    <row r="149" spans="1:9" x14ac:dyDescent="0.25">
      <c r="A149" t="s">
        <v>152</v>
      </c>
      <c r="F149">
        <f>E148*F146</f>
        <v>3.1391474146492231E-2</v>
      </c>
    </row>
    <row r="150" spans="1:9" x14ac:dyDescent="0.25">
      <c r="A150" t="s">
        <v>153</v>
      </c>
      <c r="G150">
        <f>0.1-F149</f>
        <v>6.8608525853507768E-2</v>
      </c>
    </row>
    <row r="151" spans="1:9" x14ac:dyDescent="0.25">
      <c r="A151" t="s">
        <v>72</v>
      </c>
      <c r="F151">
        <f>G137</f>
        <v>9.3333333333333338E-2</v>
      </c>
      <c r="G151" s="16" t="s">
        <v>73</v>
      </c>
      <c r="H151">
        <f>G150</f>
        <v>6.8608525853507768E-2</v>
      </c>
    </row>
    <row r="152" spans="1:9" x14ac:dyDescent="0.25">
      <c r="A152" t="s">
        <v>240</v>
      </c>
      <c r="C152" s="57" t="s">
        <v>154</v>
      </c>
      <c r="D152" s="41"/>
      <c r="E152" s="41"/>
      <c r="F152">
        <f>(G137-0.1)/E148</f>
        <v>-0.27216552697590873</v>
      </c>
      <c r="G152" s="16" t="s">
        <v>73</v>
      </c>
      <c r="H152">
        <f>-F146</f>
        <v>-1.2815515655446006</v>
      </c>
      <c r="I152" t="s">
        <v>141</v>
      </c>
    </row>
    <row r="153" spans="1:9" ht="15.75" thickBot="1" x14ac:dyDescent="0.3">
      <c r="A153" t="s">
        <v>155</v>
      </c>
    </row>
    <row r="154" spans="1:9" x14ac:dyDescent="0.25">
      <c r="A154" s="43" t="s">
        <v>158</v>
      </c>
      <c r="B154" s="32"/>
      <c r="C154" s="32"/>
      <c r="D154" s="32"/>
      <c r="E154" s="32"/>
      <c r="F154" s="32"/>
      <c r="G154" s="32"/>
      <c r="H154" s="18"/>
      <c r="I154" s="3"/>
    </row>
    <row r="155" spans="1:9" ht="15.75" thickBot="1" x14ac:dyDescent="0.3">
      <c r="A155" s="44" t="s">
        <v>159</v>
      </c>
      <c r="B155" s="11"/>
      <c r="C155" s="11"/>
      <c r="D155" s="11"/>
      <c r="E155" s="11"/>
      <c r="F155" s="11"/>
      <c r="G155" s="11"/>
      <c r="H155" s="31"/>
      <c r="I155" s="3"/>
    </row>
    <row r="156" spans="1:9" x14ac:dyDescent="0.25">
      <c r="A156" s="15" t="s">
        <v>78</v>
      </c>
      <c r="B156" s="15"/>
      <c r="C156" s="17"/>
      <c r="D156" s="17"/>
      <c r="E156" s="17"/>
      <c r="F156" s="17"/>
    </row>
    <row r="157" spans="1:9" x14ac:dyDescent="0.25">
      <c r="A157" t="s">
        <v>56</v>
      </c>
      <c r="E157">
        <v>150</v>
      </c>
    </row>
    <row r="158" spans="1:9" x14ac:dyDescent="0.25">
      <c r="A158" t="s">
        <v>57</v>
      </c>
      <c r="E158">
        <v>16</v>
      </c>
    </row>
    <row r="159" spans="1:9" x14ac:dyDescent="0.25">
      <c r="A159" t="s">
        <v>84</v>
      </c>
      <c r="G159">
        <f>E158/E157</f>
        <v>0.10666666666666667</v>
      </c>
    </row>
    <row r="160" spans="1:9" x14ac:dyDescent="0.25">
      <c r="A160" t="s">
        <v>85</v>
      </c>
      <c r="E160" t="s">
        <v>67</v>
      </c>
      <c r="F160">
        <f>NORMSINV(0.95)</f>
        <v>1.6448536269514715</v>
      </c>
    </row>
    <row r="161" spans="1:9" x14ac:dyDescent="0.25">
      <c r="A161" t="s">
        <v>81</v>
      </c>
      <c r="F161">
        <f>G159*(1-G159)</f>
        <v>9.5288888888888895E-2</v>
      </c>
      <c r="G161">
        <f>SQRT(F161)</f>
        <v>0.30868898407440604</v>
      </c>
    </row>
    <row r="162" spans="1:9" x14ac:dyDescent="0.25">
      <c r="A162" t="s">
        <v>63</v>
      </c>
      <c r="F162">
        <f>SQRT(F161/E157)</f>
        <v>2.520435000668058E-2</v>
      </c>
    </row>
    <row r="163" spans="1:9" x14ac:dyDescent="0.25">
      <c r="A163" t="s">
        <v>86</v>
      </c>
      <c r="F163">
        <f>F160*F162</f>
        <v>4.1457466523442899E-2</v>
      </c>
    </row>
    <row r="164" spans="1:9" x14ac:dyDescent="0.25">
      <c r="A164" t="s">
        <v>64</v>
      </c>
      <c r="G164">
        <f>G159-F163</f>
        <v>6.5209200143223775E-2</v>
      </c>
    </row>
    <row r="165" spans="1:9" x14ac:dyDescent="0.25">
      <c r="A165" t="s">
        <v>65</v>
      </c>
      <c r="G165">
        <f>G159+F163</f>
        <v>0.14812413319010959</v>
      </c>
    </row>
    <row r="166" spans="1:9" x14ac:dyDescent="0.25">
      <c r="A166" s="14" t="s">
        <v>220</v>
      </c>
      <c r="C166" t="s">
        <v>131</v>
      </c>
    </row>
    <row r="167" spans="1:9" x14ac:dyDescent="0.25">
      <c r="A167" t="s">
        <v>132</v>
      </c>
      <c r="C167">
        <v>0.99</v>
      </c>
      <c r="E167" t="s">
        <v>133</v>
      </c>
      <c r="F167">
        <f>NORMSINV(0.99)</f>
        <v>2.3263478740408408</v>
      </c>
    </row>
    <row r="168" spans="1:9" x14ac:dyDescent="0.25">
      <c r="A168" t="s">
        <v>145</v>
      </c>
      <c r="C168">
        <f>0.1*0.9</f>
        <v>9.0000000000000011E-2</v>
      </c>
    </row>
    <row r="169" spans="1:9" x14ac:dyDescent="0.25">
      <c r="A169" t="s">
        <v>146</v>
      </c>
      <c r="E169">
        <f>SQRT(C168/150)</f>
        <v>2.4494897427831782E-2</v>
      </c>
    </row>
    <row r="170" spans="1:9" x14ac:dyDescent="0.25">
      <c r="A170" t="s">
        <v>144</v>
      </c>
      <c r="F170">
        <f>E169*F167</f>
        <v>5.6983652556084924E-2</v>
      </c>
    </row>
    <row r="171" spans="1:9" x14ac:dyDescent="0.25">
      <c r="A171" t="s">
        <v>134</v>
      </c>
      <c r="G171">
        <f>0.1+F170</f>
        <v>0.15698365255608493</v>
      </c>
    </row>
    <row r="172" spans="1:9" x14ac:dyDescent="0.25">
      <c r="A172" t="s">
        <v>72</v>
      </c>
      <c r="F172">
        <f>G159</f>
        <v>0.10666666666666667</v>
      </c>
      <c r="G172" s="16" t="s">
        <v>76</v>
      </c>
      <c r="H172">
        <f>G171</f>
        <v>0.15698365255608493</v>
      </c>
    </row>
    <row r="173" spans="1:9" x14ac:dyDescent="0.25">
      <c r="A173" t="s">
        <v>240</v>
      </c>
      <c r="C173" s="57" t="s">
        <v>147</v>
      </c>
      <c r="D173" s="57"/>
      <c r="E173" s="41"/>
      <c r="F173">
        <f>(G159-0.1)/E169</f>
        <v>0.27216552697590873</v>
      </c>
      <c r="G173" s="16" t="s">
        <v>76</v>
      </c>
      <c r="H173">
        <f>F167</f>
        <v>2.3263478740408408</v>
      </c>
      <c r="I173" t="s">
        <v>141</v>
      </c>
    </row>
    <row r="174" spans="1:9" ht="15.75" thickBot="1" x14ac:dyDescent="0.3">
      <c r="A174" t="s">
        <v>135</v>
      </c>
    </row>
    <row r="175" spans="1:9" ht="15.75" thickBot="1" x14ac:dyDescent="0.3">
      <c r="A175" s="4" t="s">
        <v>160</v>
      </c>
      <c r="B175" s="5"/>
      <c r="C175" s="5"/>
      <c r="D175" s="5"/>
      <c r="E175" s="5"/>
      <c r="F175" s="5"/>
      <c r="G175" s="5"/>
      <c r="H175" s="6"/>
      <c r="I175" s="3"/>
    </row>
    <row r="176" spans="1:9" x14ac:dyDescent="0.25">
      <c r="A176" s="2" t="s">
        <v>161</v>
      </c>
      <c r="B176" s="3"/>
      <c r="C176" s="3"/>
      <c r="D176" s="3"/>
      <c r="E176" s="3"/>
      <c r="F176" s="3"/>
      <c r="G176" s="3"/>
      <c r="H176" s="3"/>
    </row>
    <row r="177" spans="1:7" x14ac:dyDescent="0.25">
      <c r="A177" t="s">
        <v>162</v>
      </c>
      <c r="F177">
        <v>22</v>
      </c>
    </row>
    <row r="178" spans="1:7" x14ac:dyDescent="0.25">
      <c r="A178" t="s">
        <v>166</v>
      </c>
      <c r="F178">
        <v>21</v>
      </c>
    </row>
    <row r="179" spans="1:7" x14ac:dyDescent="0.25">
      <c r="A179" t="s">
        <v>163</v>
      </c>
      <c r="F179">
        <v>1480</v>
      </c>
    </row>
    <row r="180" spans="1:7" x14ac:dyDescent="0.25">
      <c r="A180" t="s">
        <v>164</v>
      </c>
      <c r="F180">
        <v>130</v>
      </c>
    </row>
    <row r="181" spans="1:7" x14ac:dyDescent="0.25">
      <c r="A181" t="s">
        <v>165</v>
      </c>
      <c r="E181" t="s">
        <v>167</v>
      </c>
      <c r="F181">
        <f>TINV(0.01,21)</f>
        <v>2.8313595580230499</v>
      </c>
    </row>
    <row r="182" spans="1:7" x14ac:dyDescent="0.25">
      <c r="A182" t="s">
        <v>63</v>
      </c>
      <c r="F182">
        <f>F180/SQRT(F177)</f>
        <v>27.716093126229357</v>
      </c>
    </row>
    <row r="183" spans="1:7" x14ac:dyDescent="0.25">
      <c r="A183" t="s">
        <v>168</v>
      </c>
      <c r="F183">
        <f>F182*F181</f>
        <v>78.474225184006443</v>
      </c>
    </row>
    <row r="184" spans="1:7" x14ac:dyDescent="0.25">
      <c r="A184" t="s">
        <v>64</v>
      </c>
      <c r="G184">
        <f>F179-F183</f>
        <v>1401.5257748159936</v>
      </c>
    </row>
    <row r="185" spans="1:7" x14ac:dyDescent="0.25">
      <c r="A185" t="s">
        <v>65</v>
      </c>
      <c r="G185">
        <f>F179+F183</f>
        <v>1558.4742251840064</v>
      </c>
    </row>
    <row r="186" spans="1:7" x14ac:dyDescent="0.25">
      <c r="A186" t="s">
        <v>180</v>
      </c>
    </row>
    <row r="187" spans="1:7" x14ac:dyDescent="0.25">
      <c r="A187" t="s">
        <v>169</v>
      </c>
      <c r="E187" t="s">
        <v>167</v>
      </c>
      <c r="F187">
        <f>TINV(0.01,21)</f>
        <v>2.8313595580230499</v>
      </c>
    </row>
    <row r="188" spans="1:7" x14ac:dyDescent="0.25">
      <c r="A188" t="s">
        <v>170</v>
      </c>
      <c r="F188">
        <f>F182*F187</f>
        <v>78.474225184006443</v>
      </c>
    </row>
    <row r="189" spans="1:7" x14ac:dyDescent="0.25">
      <c r="A189" t="s">
        <v>173</v>
      </c>
    </row>
    <row r="190" spans="1:7" x14ac:dyDescent="0.25">
      <c r="A190" t="s">
        <v>171</v>
      </c>
      <c r="E190">
        <f>1500+F188</f>
        <v>1578.4742251840064</v>
      </c>
    </row>
    <row r="191" spans="1:7" x14ac:dyDescent="0.25">
      <c r="A191" t="s">
        <v>172</v>
      </c>
      <c r="E191">
        <f>1500-F188</f>
        <v>1421.5257748159936</v>
      </c>
    </row>
    <row r="192" spans="1:7" x14ac:dyDescent="0.25">
      <c r="A192" t="s">
        <v>175</v>
      </c>
      <c r="G192" s="16"/>
    </row>
    <row r="193" spans="1:8" x14ac:dyDescent="0.25">
      <c r="A193" t="s">
        <v>174</v>
      </c>
      <c r="C193" s="41"/>
      <c r="D193" s="41"/>
      <c r="E193" s="41"/>
      <c r="G193" s="16"/>
    </row>
    <row r="194" spans="1:8" x14ac:dyDescent="0.25">
      <c r="A194" t="s">
        <v>239</v>
      </c>
      <c r="G194" t="s">
        <v>226</v>
      </c>
    </row>
    <row r="195" spans="1:8" ht="15.75" thickBot="1" x14ac:dyDescent="0.3">
      <c r="A195" t="s">
        <v>225</v>
      </c>
      <c r="F195">
        <f>-(1480-1500)/F182</f>
        <v>0.72160242458821988</v>
      </c>
      <c r="G195" t="s">
        <v>176</v>
      </c>
    </row>
    <row r="196" spans="1:8" ht="15.75" thickBot="1" x14ac:dyDescent="0.3">
      <c r="A196" s="4" t="s">
        <v>181</v>
      </c>
      <c r="B196" s="5"/>
      <c r="C196" s="5"/>
      <c r="D196" s="5"/>
      <c r="E196" s="5"/>
      <c r="F196" s="5"/>
      <c r="G196" s="5"/>
      <c r="H196" s="6"/>
    </row>
    <row r="197" spans="1:8" x14ac:dyDescent="0.25">
      <c r="A197" s="2" t="s">
        <v>177</v>
      </c>
      <c r="B197" s="3"/>
      <c r="C197" s="3"/>
      <c r="D197" s="3"/>
      <c r="E197" s="3"/>
      <c r="F197" s="3">
        <v>4</v>
      </c>
      <c r="G197" s="3"/>
      <c r="H197" s="3"/>
    </row>
    <row r="198" spans="1:8" x14ac:dyDescent="0.25">
      <c r="A198" t="s">
        <v>162</v>
      </c>
      <c r="F198">
        <v>20</v>
      </c>
    </row>
    <row r="199" spans="1:8" x14ac:dyDescent="0.25">
      <c r="A199" t="s">
        <v>163</v>
      </c>
      <c r="F199">
        <v>3</v>
      </c>
      <c r="H199" t="s">
        <v>282</v>
      </c>
    </row>
    <row r="200" spans="1:8" x14ac:dyDescent="0.25">
      <c r="A200" t="s">
        <v>178</v>
      </c>
      <c r="E200" t="s">
        <v>67</v>
      </c>
      <c r="F200">
        <f>NORMSINV(0.95)</f>
        <v>1.6448536269514715</v>
      </c>
    </row>
    <row r="201" spans="1:8" x14ac:dyDescent="0.25">
      <c r="A201" t="s">
        <v>63</v>
      </c>
      <c r="F201">
        <f>4/SQRT(20)</f>
        <v>0.89442719099991586</v>
      </c>
    </row>
    <row r="202" spans="1:8" x14ac:dyDescent="0.25">
      <c r="A202" t="s">
        <v>86</v>
      </c>
      <c r="F202">
        <f>F201*F200</f>
        <v>1.4712018091602281</v>
      </c>
    </row>
    <row r="203" spans="1:8" x14ac:dyDescent="0.25">
      <c r="A203" t="s">
        <v>64</v>
      </c>
      <c r="G203">
        <f>F199-F202</f>
        <v>1.5287981908397719</v>
      </c>
    </row>
    <row r="204" spans="1:8" x14ac:dyDescent="0.25">
      <c r="A204" t="s">
        <v>65</v>
      </c>
      <c r="G204">
        <f>F199+F202</f>
        <v>4.4712018091602284</v>
      </c>
    </row>
    <row r="205" spans="1:8" x14ac:dyDescent="0.25">
      <c r="A205" t="s">
        <v>179</v>
      </c>
      <c r="E205">
        <f>2*F202</f>
        <v>2.9424036183204563</v>
      </c>
    </row>
    <row r="206" spans="1:8" x14ac:dyDescent="0.25">
      <c r="A206" t="s">
        <v>182</v>
      </c>
      <c r="E206" t="s">
        <v>67</v>
      </c>
      <c r="F206">
        <f>NORMSINV(0.95)</f>
        <v>1.6448536269514715</v>
      </c>
    </row>
    <row r="207" spans="1:8" x14ac:dyDescent="0.25">
      <c r="A207" t="s">
        <v>184</v>
      </c>
    </row>
    <row r="208" spans="1:8" x14ac:dyDescent="0.25">
      <c r="A208" t="s">
        <v>183</v>
      </c>
      <c r="C208" t="s">
        <v>185</v>
      </c>
      <c r="E208">
        <f>(4*F206)^2</f>
        <v>43.28869526552657</v>
      </c>
      <c r="F208" t="s">
        <v>186</v>
      </c>
    </row>
    <row r="209" spans="1:8" ht="15.75" thickBot="1" x14ac:dyDescent="0.3">
      <c r="A209" t="s">
        <v>191</v>
      </c>
    </row>
    <row r="210" spans="1:8" ht="15.75" thickBot="1" x14ac:dyDescent="0.3">
      <c r="A210" s="4" t="s">
        <v>198</v>
      </c>
      <c r="B210" s="5"/>
      <c r="C210" s="5"/>
      <c r="D210" s="5"/>
      <c r="E210" s="5"/>
      <c r="F210" s="5"/>
      <c r="G210" s="5"/>
      <c r="H210" s="6"/>
    </row>
    <row r="211" spans="1:8" x14ac:dyDescent="0.25">
      <c r="A211" s="2" t="s">
        <v>161</v>
      </c>
      <c r="B211" s="3"/>
      <c r="C211" s="3"/>
      <c r="D211" s="3"/>
      <c r="E211" s="3"/>
      <c r="F211" s="3"/>
      <c r="G211" s="3"/>
      <c r="H211" s="3"/>
    </row>
    <row r="212" spans="1:8" x14ac:dyDescent="0.25">
      <c r="A212" t="s">
        <v>162</v>
      </c>
      <c r="F212">
        <v>18</v>
      </c>
      <c r="H212" s="3"/>
    </row>
    <row r="213" spans="1:8" x14ac:dyDescent="0.25">
      <c r="A213" t="s">
        <v>166</v>
      </c>
      <c r="F213">
        <v>17</v>
      </c>
      <c r="H213" s="3"/>
    </row>
    <row r="214" spans="1:8" x14ac:dyDescent="0.25">
      <c r="A214" t="s">
        <v>163</v>
      </c>
      <c r="F214">
        <v>1280</v>
      </c>
      <c r="H214" s="3"/>
    </row>
    <row r="215" spans="1:8" x14ac:dyDescent="0.25">
      <c r="A215" t="s">
        <v>164</v>
      </c>
      <c r="F215">
        <v>120</v>
      </c>
      <c r="H215" s="3"/>
    </row>
    <row r="216" spans="1:8" x14ac:dyDescent="0.25">
      <c r="A216" t="s">
        <v>165</v>
      </c>
      <c r="E216" t="s">
        <v>167</v>
      </c>
      <c r="F216">
        <f>TINV(0.01,17)</f>
        <v>2.8982305196774178</v>
      </c>
      <c r="H216" s="3"/>
    </row>
    <row r="217" spans="1:8" x14ac:dyDescent="0.25">
      <c r="A217" t="s">
        <v>63</v>
      </c>
      <c r="F217">
        <f>F215/SQRT(F212)</f>
        <v>28.284271247461902</v>
      </c>
      <c r="H217" s="3"/>
    </row>
    <row r="218" spans="1:8" x14ac:dyDescent="0.25">
      <c r="A218" t="s">
        <v>168</v>
      </c>
      <c r="F218">
        <f>F217*F216</f>
        <v>81.974338156228555</v>
      </c>
      <c r="H218" s="3"/>
    </row>
    <row r="219" spans="1:8" x14ac:dyDescent="0.25">
      <c r="A219" t="s">
        <v>64</v>
      </c>
      <c r="G219">
        <f>F214-F218</f>
        <v>1198.0256618437716</v>
      </c>
      <c r="H219" s="3"/>
    </row>
    <row r="220" spans="1:8" x14ac:dyDescent="0.25">
      <c r="A220" t="s">
        <v>65</v>
      </c>
      <c r="G220">
        <f>F214+F218</f>
        <v>1361.9743381562284</v>
      </c>
      <c r="H220" s="3"/>
    </row>
    <row r="221" spans="1:8" x14ac:dyDescent="0.25">
      <c r="A221" t="s">
        <v>221</v>
      </c>
      <c r="H221" s="3"/>
    </row>
    <row r="222" spans="1:8" x14ac:dyDescent="0.25">
      <c r="A222" t="s">
        <v>169</v>
      </c>
      <c r="E222" t="s">
        <v>167</v>
      </c>
      <c r="F222">
        <f>TINV(0.01,17)</f>
        <v>2.8982305196774178</v>
      </c>
      <c r="H222" s="3"/>
    </row>
    <row r="223" spans="1:8" x14ac:dyDescent="0.25">
      <c r="A223" t="s">
        <v>170</v>
      </c>
      <c r="F223">
        <f>F217*F222</f>
        <v>81.974338156228555</v>
      </c>
    </row>
    <row r="224" spans="1:8" x14ac:dyDescent="0.25">
      <c r="A224" t="s">
        <v>173</v>
      </c>
    </row>
    <row r="225" spans="1:8" x14ac:dyDescent="0.25">
      <c r="A225" t="s">
        <v>222</v>
      </c>
      <c r="E225">
        <f>1300+F223</f>
        <v>1381.9743381562284</v>
      </c>
    </row>
    <row r="226" spans="1:8" x14ac:dyDescent="0.25">
      <c r="A226" t="s">
        <v>223</v>
      </c>
      <c r="E226">
        <f>1300-F223</f>
        <v>1218.0256618437716</v>
      </c>
    </row>
    <row r="227" spans="1:8" x14ac:dyDescent="0.25">
      <c r="A227" t="s">
        <v>224</v>
      </c>
      <c r="G227" s="16"/>
    </row>
    <row r="228" spans="1:8" x14ac:dyDescent="0.25">
      <c r="A228" t="s">
        <v>174</v>
      </c>
      <c r="C228" s="41"/>
      <c r="D228" s="41"/>
      <c r="E228" s="41"/>
      <c r="G228" s="16"/>
    </row>
    <row r="229" spans="1:8" x14ac:dyDescent="0.25">
      <c r="A229" t="s">
        <v>237</v>
      </c>
      <c r="G229" t="s">
        <v>226</v>
      </c>
    </row>
    <row r="230" spans="1:8" x14ac:dyDescent="0.25">
      <c r="A230" s="17" t="s">
        <v>227</v>
      </c>
      <c r="F230">
        <f>-(1280-1300)/F217</f>
        <v>0.70710678118654746</v>
      </c>
      <c r="G230" t="s">
        <v>176</v>
      </c>
      <c r="H230" s="3"/>
    </row>
    <row r="231" spans="1:8" x14ac:dyDescent="0.25">
      <c r="A231" s="17" t="s">
        <v>238</v>
      </c>
      <c r="H231" s="3"/>
    </row>
    <row r="232" spans="1:8" x14ac:dyDescent="0.25">
      <c r="A232" s="17" t="s">
        <v>236</v>
      </c>
      <c r="H232" s="3"/>
    </row>
    <row r="233" spans="1:8" ht="15.75" thickBot="1" x14ac:dyDescent="0.3">
      <c r="A233" s="17"/>
      <c r="H233" s="3"/>
    </row>
    <row r="234" spans="1:8" x14ac:dyDescent="0.25">
      <c r="A234" s="53" t="s">
        <v>228</v>
      </c>
      <c r="B234" s="32"/>
      <c r="C234" s="32"/>
      <c r="D234" s="32"/>
      <c r="E234" s="32"/>
      <c r="F234" s="32"/>
      <c r="G234" s="32"/>
      <c r="H234" s="18"/>
    </row>
    <row r="235" spans="1:8" ht="15.75" thickBot="1" x14ac:dyDescent="0.3">
      <c r="A235" s="44" t="s">
        <v>229</v>
      </c>
      <c r="B235" s="11"/>
      <c r="C235" s="11"/>
      <c r="D235" s="11"/>
      <c r="E235" s="11"/>
      <c r="F235" s="11"/>
      <c r="G235" s="11"/>
      <c r="H235" s="31"/>
    </row>
    <row r="236" spans="1:8" ht="15.75" thickBot="1" x14ac:dyDescent="0.3">
      <c r="A236" s="17"/>
      <c r="H236" s="3"/>
    </row>
    <row r="237" spans="1:8" ht="15.75" thickBot="1" x14ac:dyDescent="0.3">
      <c r="A237" s="1" t="s">
        <v>25</v>
      </c>
      <c r="B237" s="1" t="s">
        <v>87</v>
      </c>
      <c r="C237" s="1" t="s">
        <v>88</v>
      </c>
      <c r="D237" s="1" t="s">
        <v>89</v>
      </c>
      <c r="E237" s="21" t="s">
        <v>90</v>
      </c>
      <c r="G237" s="3"/>
      <c r="H237" s="3"/>
    </row>
    <row r="238" spans="1:8" x14ac:dyDescent="0.25">
      <c r="A238" s="7" t="s">
        <v>97</v>
      </c>
      <c r="B238" s="7">
        <v>25</v>
      </c>
      <c r="C238" s="19">
        <v>0.25</v>
      </c>
      <c r="D238" s="7">
        <v>25</v>
      </c>
      <c r="E238" s="19">
        <v>0.25</v>
      </c>
      <c r="G238" s="2"/>
      <c r="H238" s="3"/>
    </row>
    <row r="239" spans="1:8" x14ac:dyDescent="0.25">
      <c r="A239" s="7">
        <v>1</v>
      </c>
      <c r="B239" s="7">
        <v>25</v>
      </c>
      <c r="C239" s="19">
        <v>0.25</v>
      </c>
      <c r="D239" s="7">
        <v>50</v>
      </c>
      <c r="E239" s="19">
        <v>0.5</v>
      </c>
      <c r="G239" s="2"/>
      <c r="H239" s="3"/>
    </row>
    <row r="240" spans="1:8" x14ac:dyDescent="0.25">
      <c r="A240" s="7" t="s">
        <v>96</v>
      </c>
      <c r="B240" s="7">
        <v>25</v>
      </c>
      <c r="C240" s="19">
        <v>0.25</v>
      </c>
      <c r="D240" s="7">
        <v>75</v>
      </c>
      <c r="E240" s="19">
        <v>0.75</v>
      </c>
      <c r="G240" s="2"/>
      <c r="H240" s="3"/>
    </row>
    <row r="241" spans="1:8" ht="15.75" thickBot="1" x14ac:dyDescent="0.3">
      <c r="A241" s="7">
        <v>3</v>
      </c>
      <c r="B241" s="7">
        <v>25</v>
      </c>
      <c r="C241" s="19">
        <v>0.25</v>
      </c>
      <c r="D241" s="7">
        <v>100</v>
      </c>
      <c r="E241" s="19">
        <v>1</v>
      </c>
      <c r="G241" s="2"/>
      <c r="H241" s="3"/>
    </row>
    <row r="242" spans="1:8" ht="15.75" thickBot="1" x14ac:dyDescent="0.3">
      <c r="A242" s="1"/>
      <c r="B242" s="1">
        <f>SUM(B238:B241)</f>
        <v>100</v>
      </c>
      <c r="C242" s="20">
        <f>SUM(C238:C241)</f>
        <v>1</v>
      </c>
      <c r="D242" s="1"/>
      <c r="E242" s="1"/>
      <c r="G242" s="3"/>
      <c r="H242" s="3"/>
    </row>
    <row r="243" spans="1:8" x14ac:dyDescent="0.25">
      <c r="A243" s="3"/>
      <c r="B243" s="3"/>
      <c r="C243" s="78"/>
      <c r="D243" s="3"/>
      <c r="E243" s="3"/>
      <c r="G243" s="3"/>
      <c r="H243" s="3"/>
    </row>
    <row r="244" spans="1:8" x14ac:dyDescent="0.25">
      <c r="A244" s="3"/>
      <c r="B244" s="3"/>
      <c r="C244" s="78"/>
      <c r="D244" s="3"/>
      <c r="E244" s="3"/>
      <c r="G244" s="3"/>
      <c r="H244" s="3"/>
    </row>
    <row r="245" spans="1:8" x14ac:dyDescent="0.25">
      <c r="A245" s="3"/>
      <c r="B245" s="3"/>
      <c r="C245" s="78"/>
      <c r="D245" s="3"/>
      <c r="E245" s="3"/>
      <c r="G245" s="3"/>
      <c r="H245" s="3"/>
    </row>
    <row r="246" spans="1:8" x14ac:dyDescent="0.25">
      <c r="A246" s="3"/>
      <c r="B246" s="3"/>
      <c r="C246" s="78"/>
      <c r="D246" s="3"/>
      <c r="E246" s="3"/>
      <c r="G246" s="3"/>
      <c r="H246" s="3"/>
    </row>
    <row r="247" spans="1:8" ht="15.75" thickBot="1" x14ac:dyDescent="0.3">
      <c r="E247" s="2"/>
    </row>
    <row r="248" spans="1:8" ht="15.75" thickBot="1" x14ac:dyDescent="0.3">
      <c r="A248" s="1" t="s">
        <v>25</v>
      </c>
      <c r="B248" s="4" t="s">
        <v>91</v>
      </c>
      <c r="C248" s="4" t="s">
        <v>92</v>
      </c>
      <c r="D248" s="25" t="s">
        <v>94</v>
      </c>
      <c r="F248" s="24"/>
      <c r="H248" t="s">
        <v>283</v>
      </c>
    </row>
    <row r="249" spans="1:8" x14ac:dyDescent="0.25">
      <c r="A249" s="7">
        <v>0</v>
      </c>
      <c r="B249" s="22">
        <v>0.25</v>
      </c>
      <c r="C249" s="12">
        <f>A249*B249</f>
        <v>0</v>
      </c>
      <c r="D249" s="12">
        <f>((A249-1.5)^2)*B249</f>
        <v>0.5625</v>
      </c>
    </row>
    <row r="250" spans="1:8" x14ac:dyDescent="0.25">
      <c r="A250" s="7">
        <v>1</v>
      </c>
      <c r="B250" s="22">
        <v>0.25</v>
      </c>
      <c r="C250" s="7">
        <f t="shared" ref="C250:C252" si="2">A250*B250</f>
        <v>0.25</v>
      </c>
      <c r="D250" s="7">
        <f>((A250-1.5)^2)*B250</f>
        <v>6.25E-2</v>
      </c>
    </row>
    <row r="251" spans="1:8" x14ac:dyDescent="0.25">
      <c r="A251" s="7">
        <v>2</v>
      </c>
      <c r="B251" s="22">
        <v>0.25</v>
      </c>
      <c r="C251" s="7">
        <f t="shared" si="2"/>
        <v>0.5</v>
      </c>
      <c r="D251" s="7">
        <f>((A251-1.5)^2)*B251</f>
        <v>6.25E-2</v>
      </c>
    </row>
    <row r="252" spans="1:8" ht="15.75" thickBot="1" x14ac:dyDescent="0.3">
      <c r="A252" s="7">
        <v>3</v>
      </c>
      <c r="B252" s="22">
        <v>0.25</v>
      </c>
      <c r="C252" s="8">
        <f t="shared" si="2"/>
        <v>0.75</v>
      </c>
      <c r="D252" s="8">
        <f>((A252-1.5)^2)*B252</f>
        <v>0.5625</v>
      </c>
    </row>
    <row r="253" spans="1:8" ht="15.75" thickBot="1" x14ac:dyDescent="0.3">
      <c r="A253" s="1"/>
      <c r="B253" s="23">
        <f>SUM(B249:B252)</f>
        <v>1</v>
      </c>
      <c r="C253" s="7">
        <f>SUM(C249:C252)</f>
        <v>1.5</v>
      </c>
      <c r="D253" s="7">
        <f>SUM(D249:D252)</f>
        <v>1.25</v>
      </c>
    </row>
    <row r="254" spans="1:8" ht="15.75" thickBot="1" x14ac:dyDescent="0.3">
      <c r="C254" s="8" t="s">
        <v>93</v>
      </c>
      <c r="D254" s="8" t="s">
        <v>95</v>
      </c>
    </row>
    <row r="255" spans="1:8" x14ac:dyDescent="0.25">
      <c r="A255" t="s">
        <v>98</v>
      </c>
      <c r="C255" s="3"/>
      <c r="D255" s="3"/>
      <c r="E255" s="3"/>
    </row>
    <row r="256" spans="1:8" x14ac:dyDescent="0.25">
      <c r="A256" t="s">
        <v>99</v>
      </c>
      <c r="B256" s="26" t="s">
        <v>100</v>
      </c>
      <c r="C256">
        <v>1.5</v>
      </c>
    </row>
    <row r="257" spans="1:10" x14ac:dyDescent="0.25">
      <c r="A257" t="s">
        <v>102</v>
      </c>
      <c r="B257" s="26" t="s">
        <v>101</v>
      </c>
      <c r="D257">
        <v>1.25</v>
      </c>
    </row>
    <row r="258" spans="1:10" ht="15.75" thickBot="1" x14ac:dyDescent="0.3">
      <c r="B258" s="26"/>
    </row>
    <row r="259" spans="1:10" x14ac:dyDescent="0.25">
      <c r="A259" s="29" t="s">
        <v>235</v>
      </c>
      <c r="B259" s="54"/>
      <c r="C259" s="32"/>
      <c r="D259" s="32"/>
      <c r="E259" s="32"/>
      <c r="F259" s="32"/>
      <c r="G259" s="32"/>
      <c r="H259" s="18"/>
    </row>
    <row r="260" spans="1:10" ht="15.75" thickBot="1" x14ac:dyDescent="0.3">
      <c r="A260" s="10" t="s">
        <v>199</v>
      </c>
      <c r="B260" s="55"/>
      <c r="C260" s="11"/>
      <c r="D260" s="11"/>
      <c r="E260" s="11"/>
      <c r="F260" s="11"/>
      <c r="G260" s="11"/>
      <c r="H260" s="31"/>
    </row>
    <row r="261" spans="1:10" ht="15.75" thickBot="1" x14ac:dyDescent="0.3">
      <c r="A261" s="2" t="s">
        <v>241</v>
      </c>
      <c r="B261" s="56"/>
      <c r="C261" s="3"/>
      <c r="D261" s="3"/>
      <c r="E261" s="3"/>
      <c r="F261" s="3"/>
      <c r="G261" s="3"/>
      <c r="H261" s="3"/>
    </row>
    <row r="262" spans="1:10" x14ac:dyDescent="0.25">
      <c r="A262" s="29" t="s">
        <v>111</v>
      </c>
      <c r="B262" s="32"/>
      <c r="C262" s="32"/>
      <c r="D262" s="18"/>
      <c r="E262" s="3"/>
      <c r="F262" s="3" t="s">
        <v>254</v>
      </c>
      <c r="G262" s="3"/>
      <c r="H262" s="3"/>
    </row>
    <row r="263" spans="1:10" ht="15.75" thickBot="1" x14ac:dyDescent="0.3">
      <c r="A263" s="9"/>
      <c r="B263" s="3"/>
      <c r="C263" s="3"/>
      <c r="D263" s="30"/>
      <c r="E263" s="3"/>
      <c r="F263" s="3" t="s">
        <v>253</v>
      </c>
      <c r="G263" s="3"/>
      <c r="H263" s="3"/>
    </row>
    <row r="264" spans="1:10" x14ac:dyDescent="0.25">
      <c r="A264" s="33"/>
      <c r="B264" s="34" t="s">
        <v>113</v>
      </c>
      <c r="C264" s="34"/>
      <c r="D264" s="35" t="s">
        <v>114</v>
      </c>
      <c r="F264" t="s">
        <v>245</v>
      </c>
      <c r="G264" s="3"/>
      <c r="H264" s="3"/>
      <c r="I264" s="3"/>
      <c r="J264" s="3"/>
    </row>
    <row r="265" spans="1:10" x14ac:dyDescent="0.25">
      <c r="A265" s="36" t="s">
        <v>115</v>
      </c>
      <c r="B265" s="37">
        <v>9.3363139765278902</v>
      </c>
      <c r="C265" s="37"/>
      <c r="D265" s="38">
        <v>10.824015387479449</v>
      </c>
      <c r="F265" t="s">
        <v>246</v>
      </c>
      <c r="G265" s="3"/>
      <c r="H265" s="3"/>
      <c r="I265" s="3"/>
      <c r="J265" s="3"/>
    </row>
    <row r="266" spans="1:10" x14ac:dyDescent="0.25">
      <c r="A266" s="36" t="s">
        <v>116</v>
      </c>
      <c r="B266" s="37">
        <v>9</v>
      </c>
      <c r="C266" s="37"/>
      <c r="D266" s="38">
        <v>16</v>
      </c>
      <c r="F266" t="s">
        <v>247</v>
      </c>
      <c r="G266" s="58"/>
      <c r="H266" s="58"/>
      <c r="I266" s="58"/>
      <c r="J266" s="3"/>
    </row>
    <row r="267" spans="1:10" x14ac:dyDescent="0.25">
      <c r="A267" s="36" t="s">
        <v>118</v>
      </c>
      <c r="B267" s="37">
        <v>20</v>
      </c>
      <c r="C267" s="37"/>
      <c r="D267" s="38">
        <v>20</v>
      </c>
      <c r="F267" t="s">
        <v>248</v>
      </c>
      <c r="G267" s="37"/>
      <c r="H267" s="37"/>
      <c r="I267" s="37"/>
      <c r="J267" s="3"/>
    </row>
    <row r="268" spans="1:10" x14ac:dyDescent="0.25">
      <c r="A268" s="36" t="s">
        <v>119</v>
      </c>
      <c r="B268" s="37">
        <v>0</v>
      </c>
      <c r="C268" s="37"/>
      <c r="D268" s="38"/>
      <c r="F268" t="s">
        <v>255</v>
      </c>
      <c r="G268" s="37"/>
      <c r="H268" s="37"/>
      <c r="I268" s="37"/>
      <c r="J268" s="3"/>
    </row>
    <row r="269" spans="1:10" x14ac:dyDescent="0.25">
      <c r="A269" s="36" t="s">
        <v>120</v>
      </c>
      <c r="B269" s="59">
        <v>-1.3306405940440138</v>
      </c>
      <c r="C269" s="59" t="s">
        <v>260</v>
      </c>
      <c r="D269" s="38"/>
      <c r="F269" t="s">
        <v>250</v>
      </c>
      <c r="G269" s="37">
        <v>1.96</v>
      </c>
      <c r="H269" s="37"/>
      <c r="I269" s="37"/>
      <c r="J269" s="3"/>
    </row>
    <row r="270" spans="1:10" x14ac:dyDescent="0.25">
      <c r="A270" s="36" t="s">
        <v>122</v>
      </c>
      <c r="B270" s="37">
        <v>9.1653649320050712E-2</v>
      </c>
      <c r="C270" s="37"/>
      <c r="D270" s="38"/>
      <c r="F270" t="s">
        <v>251</v>
      </c>
      <c r="G270" s="37"/>
      <c r="H270" s="37"/>
      <c r="I270" s="37"/>
      <c r="J270" s="3"/>
    </row>
    <row r="271" spans="1:10" x14ac:dyDescent="0.25">
      <c r="A271" s="36" t="s">
        <v>124</v>
      </c>
      <c r="B271" s="37">
        <v>1.6448536269514724</v>
      </c>
      <c r="C271" s="37"/>
      <c r="D271" s="38"/>
      <c r="F271" t="s">
        <v>252</v>
      </c>
      <c r="G271" s="37">
        <v>0.97499999999999998</v>
      </c>
      <c r="H271" s="37"/>
      <c r="I271" s="37"/>
      <c r="J271" s="3"/>
    </row>
    <row r="272" spans="1:10" x14ac:dyDescent="0.25">
      <c r="A272" s="36" t="s">
        <v>126</v>
      </c>
      <c r="B272" s="37">
        <v>0.18330729864010142</v>
      </c>
      <c r="C272" s="37"/>
      <c r="D272" s="38"/>
      <c r="F272" t="s">
        <v>249</v>
      </c>
      <c r="G272" s="37">
        <v>0.05</v>
      </c>
      <c r="H272" s="37"/>
      <c r="I272" s="37"/>
      <c r="J272" s="3"/>
    </row>
    <row r="273" spans="1:10" ht="15.75" thickBot="1" x14ac:dyDescent="0.3">
      <c r="A273" s="39" t="s">
        <v>128</v>
      </c>
      <c r="B273" s="60">
        <v>1.959963984540054</v>
      </c>
      <c r="C273" s="60" t="s">
        <v>243</v>
      </c>
      <c r="D273" s="40"/>
      <c r="G273" s="37"/>
      <c r="H273" s="37"/>
      <c r="I273" s="37"/>
      <c r="J273" s="3"/>
    </row>
    <row r="274" spans="1:10" x14ac:dyDescent="0.25">
      <c r="A274" s="37"/>
      <c r="B274" s="37"/>
      <c r="C274" s="37"/>
      <c r="D274" s="37"/>
      <c r="G274" s="37"/>
      <c r="H274" s="37"/>
      <c r="I274" s="37"/>
      <c r="J274" s="3"/>
    </row>
    <row r="275" spans="1:10" ht="15.75" thickBot="1" x14ac:dyDescent="0.3">
      <c r="A275" s="2" t="s">
        <v>242</v>
      </c>
      <c r="B275" s="56"/>
      <c r="C275" s="3"/>
      <c r="D275" s="3"/>
    </row>
    <row r="276" spans="1:10" x14ac:dyDescent="0.25">
      <c r="A276" s="29" t="s">
        <v>112</v>
      </c>
      <c r="B276" s="32"/>
      <c r="C276" s="32"/>
      <c r="D276" s="18"/>
      <c r="F276" s="3" t="s">
        <v>254</v>
      </c>
      <c r="G276" s="3"/>
      <c r="H276" s="3"/>
    </row>
    <row r="277" spans="1:10" ht="15.75" thickBot="1" x14ac:dyDescent="0.3">
      <c r="A277" s="9"/>
      <c r="B277" s="3"/>
      <c r="C277" s="3"/>
      <c r="D277" s="30"/>
      <c r="F277" s="3" t="s">
        <v>253</v>
      </c>
      <c r="G277" s="3"/>
      <c r="H277" s="3"/>
    </row>
    <row r="278" spans="1:10" x14ac:dyDescent="0.25">
      <c r="A278" s="33"/>
      <c r="B278" s="34" t="s">
        <v>113</v>
      </c>
      <c r="C278" s="34"/>
      <c r="D278" s="35" t="s">
        <v>114</v>
      </c>
      <c r="F278" t="s">
        <v>256</v>
      </c>
      <c r="G278" s="3"/>
      <c r="H278" s="3"/>
    </row>
    <row r="279" spans="1:10" x14ac:dyDescent="0.25">
      <c r="A279" s="36" t="s">
        <v>115</v>
      </c>
      <c r="B279" s="37">
        <v>9.3363139765278902</v>
      </c>
      <c r="C279" s="37"/>
      <c r="D279" s="38">
        <v>10.824015387479449</v>
      </c>
      <c r="F279" t="s">
        <v>257</v>
      </c>
      <c r="G279" s="3"/>
      <c r="H279" s="3"/>
    </row>
    <row r="280" spans="1:10" x14ac:dyDescent="0.25">
      <c r="A280" s="36" t="s">
        <v>117</v>
      </c>
      <c r="B280" s="37">
        <v>10.272063291989035</v>
      </c>
      <c r="C280" s="37"/>
      <c r="D280" s="38">
        <v>23.378966112639652</v>
      </c>
      <c r="F280" t="s">
        <v>247</v>
      </c>
      <c r="G280" s="58"/>
      <c r="H280" s="58"/>
    </row>
    <row r="281" spans="1:10" x14ac:dyDescent="0.25">
      <c r="A281" s="36" t="s">
        <v>118</v>
      </c>
      <c r="B281" s="37">
        <v>20</v>
      </c>
      <c r="C281" s="37"/>
      <c r="D281" s="38">
        <v>20</v>
      </c>
      <c r="F281" t="s">
        <v>248</v>
      </c>
      <c r="G281" s="37"/>
      <c r="H281" s="37"/>
    </row>
    <row r="282" spans="1:10" x14ac:dyDescent="0.25">
      <c r="A282" s="36" t="s">
        <v>119</v>
      </c>
      <c r="B282" s="37">
        <v>0</v>
      </c>
      <c r="C282" s="37"/>
      <c r="D282" s="38"/>
      <c r="F282" t="s">
        <v>273</v>
      </c>
    </row>
    <row r="283" spans="1:10" x14ac:dyDescent="0.25">
      <c r="A283" s="36" t="s">
        <v>121</v>
      </c>
      <c r="B283" s="37">
        <v>33</v>
      </c>
      <c r="C283" s="37"/>
      <c r="D283" s="38"/>
      <c r="F283" t="s">
        <v>261</v>
      </c>
    </row>
    <row r="284" spans="1:10" x14ac:dyDescent="0.25">
      <c r="A284" s="36" t="s">
        <v>123</v>
      </c>
      <c r="B284" s="59">
        <v>-1.1469159585472664</v>
      </c>
      <c r="C284" s="59" t="s">
        <v>259</v>
      </c>
      <c r="D284" s="38"/>
    </row>
    <row r="285" spans="1:10" x14ac:dyDescent="0.25">
      <c r="A285" s="36" t="s">
        <v>125</v>
      </c>
      <c r="B285" s="37">
        <v>0.12983213173906333</v>
      </c>
      <c r="C285" s="37"/>
      <c r="D285" s="38"/>
    </row>
    <row r="286" spans="1:10" x14ac:dyDescent="0.25">
      <c r="A286" s="36" t="s">
        <v>127</v>
      </c>
      <c r="B286" s="37">
        <v>1.6923602575919827</v>
      </c>
      <c r="C286" s="37"/>
      <c r="D286" s="38"/>
    </row>
    <row r="287" spans="1:10" x14ac:dyDescent="0.25">
      <c r="A287" s="36" t="s">
        <v>129</v>
      </c>
      <c r="B287" s="59">
        <v>0.25966426347812666</v>
      </c>
      <c r="C287" s="59" t="s">
        <v>244</v>
      </c>
      <c r="D287" s="38"/>
    </row>
    <row r="288" spans="1:10" ht="15.75" thickBot="1" x14ac:dyDescent="0.3">
      <c r="A288" s="39" t="s">
        <v>130</v>
      </c>
      <c r="B288" s="60">
        <v>2.0345152872214092</v>
      </c>
      <c r="C288" s="60" t="s">
        <v>258</v>
      </c>
      <c r="D288" s="40"/>
    </row>
    <row r="289" spans="1:9" ht="15.75" thickBot="1" x14ac:dyDescent="0.3">
      <c r="A289" s="3"/>
    </row>
    <row r="290" spans="1:9" ht="15.75" thickBot="1" x14ac:dyDescent="0.3">
      <c r="A290" s="4" t="s">
        <v>200</v>
      </c>
      <c r="B290" s="51"/>
      <c r="C290" s="5"/>
      <c r="D290" s="5"/>
      <c r="E290" s="5"/>
      <c r="F290" s="5"/>
      <c r="G290" s="5"/>
      <c r="H290" s="6"/>
    </row>
    <row r="291" spans="1:9" ht="15.75" thickBot="1" x14ac:dyDescent="0.3">
      <c r="A291" s="2" t="s">
        <v>274</v>
      </c>
      <c r="E291" t="s">
        <v>275</v>
      </c>
    </row>
    <row r="292" spans="1:9" ht="15.75" thickBot="1" x14ac:dyDescent="0.3">
      <c r="A292" s="28" t="s">
        <v>262</v>
      </c>
      <c r="B292" s="4" t="s">
        <v>103</v>
      </c>
      <c r="C292" s="6" t="s">
        <v>104</v>
      </c>
      <c r="E292" s="28" t="s">
        <v>105</v>
      </c>
      <c r="F292" s="4" t="s">
        <v>103</v>
      </c>
      <c r="G292" s="6" t="s">
        <v>104</v>
      </c>
    </row>
    <row r="293" spans="1:9" x14ac:dyDescent="0.25">
      <c r="A293" s="12" t="s">
        <v>106</v>
      </c>
      <c r="B293" s="29">
        <v>138</v>
      </c>
      <c r="C293" s="18">
        <v>64</v>
      </c>
      <c r="D293" s="12">
        <f>SUM(B293:C293)</f>
        <v>202</v>
      </c>
      <c r="E293" s="12" t="s">
        <v>106</v>
      </c>
      <c r="F293" s="29">
        <f>D293*B296/500</f>
        <v>115.14</v>
      </c>
      <c r="G293" s="18">
        <f>C296*D293/500</f>
        <v>86.86</v>
      </c>
      <c r="H293" s="12">
        <f>SUM(F293:G293)</f>
        <v>202</v>
      </c>
    </row>
    <row r="294" spans="1:9" x14ac:dyDescent="0.25">
      <c r="A294" s="7" t="s">
        <v>107</v>
      </c>
      <c r="B294" s="9">
        <v>83</v>
      </c>
      <c r="C294" s="30">
        <v>67</v>
      </c>
      <c r="D294" s="7">
        <f>SUM(B294:C294)</f>
        <v>150</v>
      </c>
      <c r="E294" s="7" t="s">
        <v>107</v>
      </c>
      <c r="F294" s="9">
        <f>B296*D294/500</f>
        <v>85.5</v>
      </c>
      <c r="G294" s="30">
        <f>C296*D294/500</f>
        <v>64.5</v>
      </c>
      <c r="H294" s="7">
        <f>SUM(F294:G294)</f>
        <v>150</v>
      </c>
    </row>
    <row r="295" spans="1:9" ht="15.75" thickBot="1" x14ac:dyDescent="0.3">
      <c r="A295" s="8" t="s">
        <v>108</v>
      </c>
      <c r="B295" s="10">
        <v>64</v>
      </c>
      <c r="C295" s="31">
        <v>84</v>
      </c>
      <c r="D295" s="8">
        <f>SUM(B295:C295)</f>
        <v>148</v>
      </c>
      <c r="E295" s="8" t="s">
        <v>108</v>
      </c>
      <c r="F295" s="10">
        <f>B296*D295/500</f>
        <v>84.36</v>
      </c>
      <c r="G295" s="31">
        <f>C296*D295/500</f>
        <v>63.64</v>
      </c>
      <c r="H295" s="8">
        <f>SUM(F295:G295)</f>
        <v>148</v>
      </c>
    </row>
    <row r="296" spans="1:9" ht="15.75" thickBot="1" x14ac:dyDescent="0.3">
      <c r="B296" s="4">
        <f>SUM(B293:B295)</f>
        <v>285</v>
      </c>
      <c r="C296" s="6">
        <f>SUM(C293:C295)</f>
        <v>215</v>
      </c>
      <c r="F296" s="4">
        <f>SUM(F293:F295)</f>
        <v>285</v>
      </c>
      <c r="G296" s="6">
        <f>SUM(G293:G295)</f>
        <v>215</v>
      </c>
    </row>
    <row r="297" spans="1:9" ht="15.75" thickBot="1" x14ac:dyDescent="0.3">
      <c r="A297" t="s">
        <v>272</v>
      </c>
      <c r="H297" t="s">
        <v>284</v>
      </c>
    </row>
    <row r="298" spans="1:9" ht="15.75" thickBot="1" x14ac:dyDescent="0.3">
      <c r="A298" s="28" t="s">
        <v>109</v>
      </c>
      <c r="B298" s="28"/>
      <c r="C298" s="4" t="s">
        <v>103</v>
      </c>
      <c r="D298" s="6" t="s">
        <v>104</v>
      </c>
      <c r="E298" s="2"/>
    </row>
    <row r="299" spans="1:9" x14ac:dyDescent="0.25">
      <c r="B299" s="12" t="s">
        <v>106</v>
      </c>
      <c r="C299" s="61">
        <f t="shared" ref="C299:D301" si="3">((B293-F293)^2)/F293</f>
        <v>4.5386451276706623</v>
      </c>
      <c r="D299" s="62">
        <f t="shared" si="3"/>
        <v>6.0163435413308779</v>
      </c>
      <c r="E299" s="67">
        <f>SUM(C299:D299)</f>
        <v>10.55498866900154</v>
      </c>
    </row>
    <row r="300" spans="1:9" x14ac:dyDescent="0.25">
      <c r="B300" s="7" t="s">
        <v>107</v>
      </c>
      <c r="C300" s="63">
        <f t="shared" si="3"/>
        <v>7.3099415204678359E-2</v>
      </c>
      <c r="D300" s="64">
        <f t="shared" si="3"/>
        <v>9.6899224806201556E-2</v>
      </c>
      <c r="E300" s="68">
        <f>SUM(C300:D300)</f>
        <v>0.16999864001087991</v>
      </c>
    </row>
    <row r="301" spans="1:9" ht="15.75" thickBot="1" x14ac:dyDescent="0.3">
      <c r="B301" s="8" t="s">
        <v>108</v>
      </c>
      <c r="C301" s="65">
        <f t="shared" si="3"/>
        <v>4.9138169748696061</v>
      </c>
      <c r="D301" s="66">
        <f t="shared" si="3"/>
        <v>6.5136643620364545</v>
      </c>
      <c r="E301" s="69">
        <f>SUM(C301:D301)</f>
        <v>11.427481336906061</v>
      </c>
    </row>
    <row r="302" spans="1:9" ht="15.75" thickBot="1" x14ac:dyDescent="0.3">
      <c r="C302" s="27"/>
      <c r="D302" s="27"/>
      <c r="E302" s="70">
        <f>SUM(E299:E301)</f>
        <v>22.152468645918482</v>
      </c>
      <c r="F302" s="28" t="s">
        <v>110</v>
      </c>
      <c r="G302" s="28"/>
      <c r="H302" s="27"/>
      <c r="I302" s="27"/>
    </row>
    <row r="303" spans="1:9" x14ac:dyDescent="0.25">
      <c r="A303" t="s">
        <v>263</v>
      </c>
    </row>
    <row r="304" spans="1:9" ht="15.75" thickBot="1" x14ac:dyDescent="0.3">
      <c r="A304" t="s">
        <v>271</v>
      </c>
    </row>
    <row r="305" spans="1:8" ht="15.75" thickBot="1" x14ac:dyDescent="0.3">
      <c r="B305" s="4" t="s">
        <v>265</v>
      </c>
      <c r="C305" s="6"/>
    </row>
    <row r="306" spans="1:8" ht="15.75" thickBot="1" x14ac:dyDescent="0.3">
      <c r="A306" s="1" t="s">
        <v>264</v>
      </c>
      <c r="B306" s="76" t="s">
        <v>266</v>
      </c>
      <c r="C306" s="77"/>
      <c r="D306" s="28" t="s">
        <v>267</v>
      </c>
      <c r="E306" s="28"/>
    </row>
    <row r="307" spans="1:8" x14ac:dyDescent="0.25">
      <c r="A307" t="s">
        <v>268</v>
      </c>
    </row>
    <row r="308" spans="1:8" x14ac:dyDescent="0.25">
      <c r="A308" t="s">
        <v>270</v>
      </c>
    </row>
    <row r="309" spans="1:8" x14ac:dyDescent="0.25">
      <c r="A309" t="s">
        <v>269</v>
      </c>
    </row>
    <row r="310" spans="1:8" ht="15.75" thickBot="1" x14ac:dyDescent="0.3"/>
    <row r="311" spans="1:8" x14ac:dyDescent="0.25">
      <c r="A311" s="29" t="s">
        <v>216</v>
      </c>
      <c r="B311" s="32"/>
      <c r="C311" s="32"/>
      <c r="D311" s="32"/>
      <c r="E311" s="32"/>
      <c r="F311" s="32"/>
      <c r="G311" s="32"/>
      <c r="H311" s="18"/>
    </row>
    <row r="312" spans="1:8" ht="15.75" thickBot="1" x14ac:dyDescent="0.3">
      <c r="A312" s="10" t="s">
        <v>217</v>
      </c>
      <c r="B312" s="11"/>
      <c r="C312" s="11"/>
      <c r="D312" s="11"/>
      <c r="E312" s="11"/>
      <c r="F312" s="11"/>
      <c r="G312" s="11"/>
      <c r="H312" s="31"/>
    </row>
    <row r="313" spans="1:8" ht="15.75" thickBot="1" x14ac:dyDescent="0.3">
      <c r="A313" t="s">
        <v>202</v>
      </c>
      <c r="F313">
        <f xml:space="preserve"> 0.032+1.024*0.05</f>
        <v>8.3199999999999996E-2</v>
      </c>
    </row>
    <row r="314" spans="1:8" ht="15.75" thickBot="1" x14ac:dyDescent="0.3">
      <c r="A314" t="s">
        <v>201</v>
      </c>
      <c r="E314" s="71" t="s">
        <v>214</v>
      </c>
      <c r="F314" s="72"/>
    </row>
    <row r="315" spans="1:8" ht="15.75" thickBot="1" x14ac:dyDescent="0.3">
      <c r="A315" s="1" t="s">
        <v>219</v>
      </c>
      <c r="B315" s="75" t="s">
        <v>209</v>
      </c>
      <c r="C315" s="74"/>
      <c r="D315" s="1" t="s">
        <v>208</v>
      </c>
      <c r="E315" s="4" t="s">
        <v>206</v>
      </c>
      <c r="F315" s="6" t="s">
        <v>207</v>
      </c>
    </row>
    <row r="316" spans="1:8" x14ac:dyDescent="0.25">
      <c r="A316" s="52" t="s">
        <v>205</v>
      </c>
      <c r="B316" s="3" t="s">
        <v>62</v>
      </c>
      <c r="C316" s="30">
        <f>NORMSINV(0.975)</f>
        <v>1.9599639845400536</v>
      </c>
      <c r="D316" s="7">
        <f>0.087*C316</f>
        <v>0.17051686665498464</v>
      </c>
      <c r="E316" s="9">
        <f>1.024-0.087*C316</f>
        <v>0.85348313334501535</v>
      </c>
      <c r="F316" s="30">
        <f>1.024+0.087*C316</f>
        <v>1.1945168666549846</v>
      </c>
    </row>
    <row r="317" spans="1:8" x14ac:dyDescent="0.25">
      <c r="A317" s="7" t="s">
        <v>204</v>
      </c>
      <c r="B317" s="3" t="s">
        <v>203</v>
      </c>
      <c r="C317" s="30">
        <f>TINV(0.05,78)</f>
        <v>1.9908470688116919</v>
      </c>
      <c r="D317" s="7">
        <f>0.087*C317</f>
        <v>0.1732036949866172</v>
      </c>
      <c r="E317" s="9">
        <f t="shared" ref="E317:E318" si="4">1.024-0.087*C317</f>
        <v>0.85079630501338288</v>
      </c>
      <c r="F317" s="30">
        <f>1.024+0.087*C317</f>
        <v>1.1972036949866172</v>
      </c>
    </row>
    <row r="318" spans="1:8" x14ac:dyDescent="0.25">
      <c r="A318" s="7" t="s">
        <v>210</v>
      </c>
      <c r="B318" s="3" t="s">
        <v>203</v>
      </c>
      <c r="C318" s="30">
        <f>TINV(0.05,80)</f>
        <v>1.9900634212544475</v>
      </c>
      <c r="D318" s="7">
        <f>0.087*C318</f>
        <v>0.17313551764913693</v>
      </c>
      <c r="E318" s="9">
        <f t="shared" si="4"/>
        <v>0.85086448235086309</v>
      </c>
      <c r="F318" s="30">
        <f>1.024+0.087*C318</f>
        <v>1.1971355176491369</v>
      </c>
    </row>
    <row r="319" spans="1:8" ht="15.75" thickBot="1" x14ac:dyDescent="0.3">
      <c r="A319" t="s">
        <v>218</v>
      </c>
    </row>
    <row r="320" spans="1:8" ht="15.75" thickBot="1" x14ac:dyDescent="0.3">
      <c r="A320" t="s">
        <v>169</v>
      </c>
      <c r="E320" s="71" t="s">
        <v>211</v>
      </c>
      <c r="F320" s="72"/>
    </row>
    <row r="321" spans="1:6" ht="15.75" thickBot="1" x14ac:dyDescent="0.3">
      <c r="A321" s="1" t="s">
        <v>219</v>
      </c>
      <c r="B321" s="73" t="s">
        <v>215</v>
      </c>
      <c r="C321" s="74"/>
      <c r="D321" s="1" t="s">
        <v>208</v>
      </c>
      <c r="E321" s="4" t="s">
        <v>212</v>
      </c>
      <c r="F321" s="6" t="s">
        <v>213</v>
      </c>
    </row>
    <row r="322" spans="1:6" x14ac:dyDescent="0.25">
      <c r="A322" s="52" t="s">
        <v>205</v>
      </c>
      <c r="B322" s="3" t="s">
        <v>79</v>
      </c>
      <c r="C322" s="30">
        <f>NORMSINV(0.995)</f>
        <v>2.5758293035488999</v>
      </c>
      <c r="D322" s="7">
        <f>0.087*C322</f>
        <v>0.22409714940875428</v>
      </c>
      <c r="E322" s="9">
        <f>-0.087*C322</f>
        <v>-0.22409714940875428</v>
      </c>
      <c r="F322" s="30">
        <f>0.087*C322</f>
        <v>0.22409714940875428</v>
      </c>
    </row>
    <row r="323" spans="1:6" x14ac:dyDescent="0.25">
      <c r="A323" s="7" t="s">
        <v>204</v>
      </c>
      <c r="B323" s="3" t="s">
        <v>167</v>
      </c>
      <c r="C323" s="30">
        <f>TINV(0.01,78)</f>
        <v>2.6403400152921264</v>
      </c>
      <c r="D323" s="7">
        <f>0.087*C323</f>
        <v>0.22970958133041497</v>
      </c>
      <c r="E323" s="9">
        <f>-0.087*C323</f>
        <v>-0.22970958133041497</v>
      </c>
      <c r="F323" s="30">
        <f>0.087*C323</f>
        <v>0.22970958133041497</v>
      </c>
    </row>
    <row r="324" spans="1:6" ht="15.75" thickBot="1" x14ac:dyDescent="0.3">
      <c r="A324" s="8" t="s">
        <v>210</v>
      </c>
      <c r="B324" s="11" t="s">
        <v>167</v>
      </c>
      <c r="C324" s="31">
        <f>TINV(0.01,80)</f>
        <v>2.6386905963441825</v>
      </c>
      <c r="D324" s="8">
        <f>0.087*C324</f>
        <v>0.22956608188194386</v>
      </c>
      <c r="E324" s="10">
        <f>-0.087*C324</f>
        <v>-0.22956608188194386</v>
      </c>
      <c r="F324" s="31">
        <f>0.087*C324</f>
        <v>0.22956608188194386</v>
      </c>
    </row>
    <row r="326" spans="1:6" x14ac:dyDescent="0.25">
      <c r="A326" t="s">
        <v>276</v>
      </c>
    </row>
    <row r="327" spans="1:6" x14ac:dyDescent="0.25">
      <c r="A327" t="s">
        <v>277</v>
      </c>
    </row>
    <row r="328" spans="1:6" x14ac:dyDescent="0.25">
      <c r="A328" t="s">
        <v>278</v>
      </c>
    </row>
  </sheetData>
  <sheetProtection password="CCDC" sheet="1" objects="1" scenarios="1" selectLockedCells="1" selectUnlockedCells="1"/>
  <mergeCells count="5">
    <mergeCell ref="E320:F320"/>
    <mergeCell ref="E314:F314"/>
    <mergeCell ref="B321:C321"/>
    <mergeCell ref="B315:C315"/>
    <mergeCell ref="B306:C30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D'Angio'</dc:creator>
  <cp:lastModifiedBy>Roberto D'Angio'</cp:lastModifiedBy>
  <cp:lastPrinted>2015-02-19T13:27:24Z</cp:lastPrinted>
  <dcterms:created xsi:type="dcterms:W3CDTF">2015-02-10T09:42:26Z</dcterms:created>
  <dcterms:modified xsi:type="dcterms:W3CDTF">2015-02-19T13:29:16Z</dcterms:modified>
</cp:coreProperties>
</file>