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15600" windowHeight="11760" firstSheet="8" activeTab="13"/>
  </bookViews>
  <sheets>
    <sheet name="input" sheetId="1" r:id="rId1"/>
    <sheet name="sales and collections" sheetId="2" r:id="rId2"/>
    <sheet name="direct material and disbursemen" sheetId="6" r:id="rId3"/>
    <sheet name="production budget" sheetId="5" r:id="rId4"/>
    <sheet name="direct labour" sheetId="7" r:id="rId5"/>
    <sheet name="OH" sheetId="8" r:id="rId6"/>
    <sheet name="full cost of goods sold" sheetId="9" r:id="rId7"/>
    <sheet name="period costs budget" sheetId="10" r:id="rId8"/>
    <sheet name="cash budget" sheetId="11" r:id="rId9"/>
    <sheet name="income budget" sheetId="3" r:id="rId10"/>
    <sheet name="BS" sheetId="4" r:id="rId11"/>
    <sheet name="interests" sheetId="12" r:id="rId12"/>
    <sheet name="Review problem" sheetId="13" r:id="rId13"/>
    <sheet name="Foglio1" sheetId="14" r:id="rId1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4" l="1"/>
  <c r="A11" i="14"/>
  <c r="A10" i="14"/>
  <c r="F7" i="14"/>
  <c r="E7" i="14"/>
  <c r="C7" i="14"/>
  <c r="D7" i="14"/>
  <c r="B7" i="14"/>
  <c r="E6" i="14"/>
  <c r="D6" i="14"/>
  <c r="E5" i="14"/>
  <c r="D5" i="14"/>
  <c r="C5" i="14"/>
  <c r="E4" i="14"/>
  <c r="E3" i="14"/>
  <c r="E2" i="14"/>
  <c r="D4" i="14"/>
  <c r="C4" i="14"/>
  <c r="B4" i="14"/>
  <c r="C3" i="14"/>
  <c r="B3" i="14"/>
  <c r="B2" i="14"/>
  <c r="F13" i="13"/>
  <c r="H29" i="13"/>
  <c r="H25" i="13"/>
  <c r="G12" i="13"/>
  <c r="F5" i="13"/>
  <c r="F36" i="13"/>
  <c r="C36" i="13"/>
  <c r="D36" i="13"/>
  <c r="E36" i="13"/>
  <c r="B36" i="13"/>
  <c r="F29" i="13"/>
  <c r="F28" i="13"/>
  <c r="F27" i="13"/>
  <c r="F26" i="13"/>
  <c r="F25" i="13"/>
  <c r="F24" i="13"/>
  <c r="F23" i="13"/>
  <c r="G23" i="13"/>
  <c r="G17" i="13"/>
  <c r="F20" i="13"/>
  <c r="F19" i="13"/>
  <c r="F18" i="13"/>
  <c r="F17" i="13"/>
  <c r="F16" i="13"/>
  <c r="D29" i="13"/>
  <c r="E29" i="13"/>
  <c r="C29" i="13"/>
  <c r="B29" i="13"/>
  <c r="E17" i="13"/>
  <c r="E18" i="13"/>
  <c r="D17" i="13"/>
  <c r="E19" i="13"/>
  <c r="E20" i="13"/>
  <c r="E23" i="13"/>
  <c r="G18" i="13"/>
  <c r="G19" i="13"/>
  <c r="G20" i="13"/>
  <c r="E24" i="13"/>
  <c r="E25" i="13"/>
  <c r="D24" i="13"/>
  <c r="E26" i="13"/>
  <c r="E27" i="13"/>
  <c r="E28" i="13"/>
  <c r="G35" i="13"/>
  <c r="E35" i="13"/>
  <c r="D18" i="13"/>
  <c r="C17" i="13"/>
  <c r="D19" i="13"/>
  <c r="D20" i="13"/>
  <c r="D23" i="13"/>
  <c r="D25" i="13"/>
  <c r="C24" i="13"/>
  <c r="D26" i="13"/>
  <c r="D27" i="13"/>
  <c r="D28" i="13"/>
  <c r="E34" i="13"/>
  <c r="D34" i="13"/>
  <c r="C18" i="13"/>
  <c r="B17" i="13"/>
  <c r="C19" i="13"/>
  <c r="C20" i="13"/>
  <c r="C23" i="13"/>
  <c r="C25" i="13"/>
  <c r="B24" i="13"/>
  <c r="C26" i="13"/>
  <c r="C27" i="13"/>
  <c r="C28" i="13"/>
  <c r="D33" i="13"/>
  <c r="C33" i="13"/>
  <c r="B18" i="13"/>
  <c r="B20" i="13"/>
  <c r="B23" i="13"/>
  <c r="B25" i="13"/>
  <c r="B27" i="13"/>
  <c r="B28" i="13"/>
  <c r="C32" i="13"/>
  <c r="B32" i="13"/>
  <c r="B5" i="13"/>
  <c r="C9" i="13"/>
  <c r="C5" i="13"/>
  <c r="C10" i="13"/>
  <c r="C13" i="13"/>
  <c r="D10" i="13"/>
  <c r="D5" i="13"/>
  <c r="D11" i="13"/>
  <c r="D13" i="13"/>
  <c r="E11" i="13"/>
  <c r="E5" i="13"/>
  <c r="E12" i="13"/>
  <c r="E13" i="13"/>
  <c r="B9" i="13"/>
  <c r="B13" i="13"/>
  <c r="B13" i="4"/>
  <c r="B2" i="2"/>
  <c r="C2" i="2"/>
  <c r="D2" i="2"/>
  <c r="E2" i="2"/>
  <c r="F2" i="2"/>
  <c r="B2" i="3"/>
  <c r="B3" i="9"/>
  <c r="C3" i="9"/>
  <c r="D3" i="9"/>
  <c r="B4" i="9"/>
  <c r="C4" i="9"/>
  <c r="D4" i="9"/>
  <c r="B5" i="9"/>
  <c r="B2" i="5"/>
  <c r="C2" i="5"/>
  <c r="B3" i="5"/>
  <c r="B4" i="5"/>
  <c r="B5" i="5"/>
  <c r="B6" i="5"/>
  <c r="B2" i="7"/>
  <c r="B3" i="7"/>
  <c r="B2" i="8"/>
  <c r="B3" i="8"/>
  <c r="B4" i="8"/>
  <c r="B5" i="8"/>
  <c r="D2" i="5"/>
  <c r="C3" i="5"/>
  <c r="C4" i="5"/>
  <c r="C5" i="5"/>
  <c r="C6" i="5"/>
  <c r="C2" i="7"/>
  <c r="C3" i="7"/>
  <c r="C2" i="8"/>
  <c r="C3" i="8"/>
  <c r="C4" i="8"/>
  <c r="C5" i="8"/>
  <c r="E2" i="5"/>
  <c r="D3" i="5"/>
  <c r="D4" i="5"/>
  <c r="D5" i="5"/>
  <c r="D6" i="5"/>
  <c r="D2" i="7"/>
  <c r="D3" i="7"/>
  <c r="D2" i="8"/>
  <c r="D3" i="8"/>
  <c r="D4" i="8"/>
  <c r="D5" i="8"/>
  <c r="E3" i="5"/>
  <c r="E4" i="5"/>
  <c r="E5" i="5"/>
  <c r="E6" i="5"/>
  <c r="E2" i="7"/>
  <c r="E3" i="7"/>
  <c r="E2" i="8"/>
  <c r="E3" i="8"/>
  <c r="E4" i="8"/>
  <c r="E5" i="8"/>
  <c r="F5" i="8"/>
  <c r="F2" i="8"/>
  <c r="A9" i="8"/>
  <c r="C5" i="9"/>
  <c r="D5" i="9"/>
  <c r="D6" i="9"/>
  <c r="F3" i="1"/>
  <c r="B3" i="3"/>
  <c r="B4" i="3"/>
  <c r="B2" i="10"/>
  <c r="B3" i="10"/>
  <c r="C2" i="10"/>
  <c r="C3" i="10"/>
  <c r="D2" i="10"/>
  <c r="D3" i="10"/>
  <c r="E2" i="10"/>
  <c r="E3" i="10"/>
  <c r="F3" i="10"/>
  <c r="B4" i="10"/>
  <c r="C4" i="10"/>
  <c r="D4" i="10"/>
  <c r="E4" i="10"/>
  <c r="F4" i="10"/>
  <c r="B5" i="10"/>
  <c r="C5" i="10"/>
  <c r="D5" i="10"/>
  <c r="E5" i="10"/>
  <c r="F5" i="10"/>
  <c r="B6" i="10"/>
  <c r="C6" i="10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F9" i="10"/>
  <c r="B5" i="3"/>
  <c r="B6" i="3"/>
  <c r="B25" i="11"/>
  <c r="C25" i="11"/>
  <c r="A2" i="12"/>
  <c r="A3" i="12"/>
  <c r="A4" i="12"/>
  <c r="E24" i="11"/>
  <c r="E25" i="11"/>
  <c r="F25" i="11"/>
  <c r="B7" i="3"/>
  <c r="B8" i="3"/>
  <c r="B17" i="11"/>
  <c r="C17" i="11"/>
  <c r="D17" i="11"/>
  <c r="E17" i="11"/>
  <c r="F17" i="11"/>
  <c r="B14" i="4"/>
  <c r="B15" i="4"/>
  <c r="B7" i="11"/>
  <c r="B5" i="2"/>
  <c r="B6" i="2"/>
  <c r="B10" i="2"/>
  <c r="B10" i="11"/>
  <c r="B12" i="6"/>
  <c r="B2" i="6"/>
  <c r="B3" i="6"/>
  <c r="C2" i="6"/>
  <c r="C3" i="6"/>
  <c r="B4" i="6"/>
  <c r="B5" i="6"/>
  <c r="B6" i="6"/>
  <c r="B7" i="6"/>
  <c r="B8" i="6"/>
  <c r="B13" i="6"/>
  <c r="B17" i="6"/>
  <c r="B12" i="11"/>
  <c r="B4" i="7"/>
  <c r="B13" i="11"/>
  <c r="B6" i="8"/>
  <c r="B7" i="8"/>
  <c r="B14" i="11"/>
  <c r="B9" i="10"/>
  <c r="B10" i="10"/>
  <c r="B15" i="11"/>
  <c r="B16" i="11"/>
  <c r="B18" i="11"/>
  <c r="B19" i="11"/>
  <c r="B26" i="11"/>
  <c r="C7" i="11"/>
  <c r="C6" i="2"/>
  <c r="C7" i="2"/>
  <c r="C10" i="2"/>
  <c r="C10" i="11"/>
  <c r="C13" i="6"/>
  <c r="D2" i="6"/>
  <c r="D3" i="6"/>
  <c r="C4" i="6"/>
  <c r="C5" i="6"/>
  <c r="C6" i="6"/>
  <c r="C7" i="6"/>
  <c r="C8" i="6"/>
  <c r="C14" i="6"/>
  <c r="C17" i="6"/>
  <c r="C12" i="11"/>
  <c r="C4" i="7"/>
  <c r="C13" i="11"/>
  <c r="C6" i="8"/>
  <c r="C7" i="8"/>
  <c r="C14" i="11"/>
  <c r="C9" i="10"/>
  <c r="C10" i="10"/>
  <c r="C15" i="11"/>
  <c r="C16" i="11"/>
  <c r="C18" i="11"/>
  <c r="C19" i="11"/>
  <c r="C26" i="11"/>
  <c r="D7" i="11"/>
  <c r="D7" i="2"/>
  <c r="D8" i="2"/>
  <c r="D10" i="2"/>
  <c r="D10" i="11"/>
  <c r="D14" i="6"/>
  <c r="E2" i="6"/>
  <c r="E3" i="6"/>
  <c r="D4" i="6"/>
  <c r="D5" i="6"/>
  <c r="D6" i="6"/>
  <c r="D7" i="6"/>
  <c r="D8" i="6"/>
  <c r="D15" i="6"/>
  <c r="D17" i="6"/>
  <c r="D12" i="11"/>
  <c r="D4" i="7"/>
  <c r="D13" i="11"/>
  <c r="D6" i="8"/>
  <c r="D7" i="8"/>
  <c r="D14" i="11"/>
  <c r="D9" i="10"/>
  <c r="D10" i="10"/>
  <c r="D15" i="11"/>
  <c r="D16" i="11"/>
  <c r="D18" i="11"/>
  <c r="D19" i="11"/>
  <c r="D26" i="11"/>
  <c r="E7" i="11"/>
  <c r="E8" i="2"/>
  <c r="E9" i="2"/>
  <c r="E10" i="2"/>
  <c r="E10" i="11"/>
  <c r="E15" i="6"/>
  <c r="E4" i="6"/>
  <c r="E5" i="6"/>
  <c r="E6" i="6"/>
  <c r="E7" i="6"/>
  <c r="E8" i="6"/>
  <c r="E16" i="6"/>
  <c r="E17" i="6"/>
  <c r="E12" i="11"/>
  <c r="E4" i="7"/>
  <c r="E13" i="11"/>
  <c r="E6" i="8"/>
  <c r="E7" i="8"/>
  <c r="E14" i="11"/>
  <c r="E9" i="10"/>
  <c r="E10" i="10"/>
  <c r="E15" i="11"/>
  <c r="E16" i="11"/>
  <c r="E18" i="11"/>
  <c r="E19" i="11"/>
  <c r="E26" i="11"/>
  <c r="F26" i="11"/>
  <c r="B2" i="4"/>
  <c r="E12" i="2"/>
  <c r="B3" i="4"/>
  <c r="B4" i="4"/>
  <c r="B5" i="4"/>
  <c r="B6" i="4"/>
  <c r="B7" i="4"/>
  <c r="F44" i="1"/>
  <c r="B8" i="4"/>
  <c r="B9" i="4"/>
  <c r="B10" i="4"/>
  <c r="B11" i="4"/>
  <c r="F24" i="11"/>
  <c r="F23" i="11"/>
  <c r="F22" i="11"/>
  <c r="F9" i="11"/>
  <c r="F19" i="11"/>
  <c r="F20" i="11"/>
  <c r="E8" i="11"/>
  <c r="E9" i="11"/>
  <c r="E20" i="11"/>
  <c r="D8" i="11"/>
  <c r="D9" i="11"/>
  <c r="D20" i="11"/>
  <c r="C8" i="11"/>
  <c r="C9" i="11"/>
  <c r="C20" i="11"/>
  <c r="B8" i="11"/>
  <c r="F18" i="11"/>
  <c r="F16" i="11"/>
  <c r="F15" i="11"/>
  <c r="F14" i="11"/>
  <c r="F13" i="11"/>
  <c r="F12" i="11"/>
  <c r="F10" i="11"/>
  <c r="F10" i="10"/>
  <c r="F2" i="10"/>
  <c r="B9" i="11"/>
  <c r="B20" i="11"/>
  <c r="F7" i="8"/>
  <c r="F6" i="8"/>
  <c r="F4" i="8"/>
  <c r="F3" i="8"/>
  <c r="G3" i="8"/>
  <c r="F4" i="7"/>
  <c r="F3" i="7"/>
  <c r="F6" i="6"/>
  <c r="E9" i="6"/>
  <c r="F6" i="5"/>
  <c r="F5" i="5"/>
  <c r="F2" i="5"/>
  <c r="F4" i="5"/>
  <c r="F10" i="2"/>
  <c r="D9" i="6"/>
  <c r="C9" i="6"/>
  <c r="F3" i="6"/>
  <c r="F5" i="6"/>
  <c r="F7" i="6"/>
  <c r="B9" i="6"/>
  <c r="F9" i="6"/>
  <c r="F2" i="6"/>
  <c r="F8" i="6"/>
</calcChain>
</file>

<file path=xl/sharedStrings.xml><?xml version="1.0" encoding="utf-8"?>
<sst xmlns="http://schemas.openxmlformats.org/spreadsheetml/2006/main" count="237" uniqueCount="189">
  <si>
    <t>INPUT FOR SALES BUDGET</t>
  </si>
  <si>
    <t>TOT</t>
  </si>
  <si>
    <t>budget in units</t>
  </si>
  <si>
    <t>price per unit</t>
  </si>
  <si>
    <t>% of sales collected in the period</t>
  </si>
  <si>
    <t>% of sales collected in the next period</t>
  </si>
  <si>
    <t>accounts receivable, balance sheet 2011</t>
  </si>
  <si>
    <t>sales</t>
  </si>
  <si>
    <t>tot</t>
  </si>
  <si>
    <t xml:space="preserve">will be reported </t>
  </si>
  <si>
    <t>revenue</t>
  </si>
  <si>
    <t>cash collections</t>
  </si>
  <si>
    <t>accounts receivable</t>
  </si>
  <si>
    <t>first quarter sales</t>
  </si>
  <si>
    <t>second quarter sales</t>
  </si>
  <si>
    <t>third quarter</t>
  </si>
  <si>
    <t>fourth quarter</t>
  </si>
  <si>
    <t>will be reported in the cash budget</t>
  </si>
  <si>
    <t>will be reported in BS 2012</t>
  </si>
  <si>
    <t>assets</t>
  </si>
  <si>
    <t>INPUT FOR PRODUCTION BUDGET</t>
  </si>
  <si>
    <t>desired ending inventory of FG</t>
  </si>
  <si>
    <t>of the next quarter sales</t>
  </si>
  <si>
    <t>beginning FG inventory</t>
  </si>
  <si>
    <t>units</t>
  </si>
  <si>
    <t>in BS</t>
  </si>
  <si>
    <t>desired ending inventory of FG (at the end of the year)</t>
  </si>
  <si>
    <t>assumed</t>
  </si>
  <si>
    <t>sales in units</t>
  </si>
  <si>
    <t>add desired ending inventory</t>
  </si>
  <si>
    <t>never sum!!!</t>
  </si>
  <si>
    <t>total needs</t>
  </si>
  <si>
    <t>less beginning inventory</t>
  </si>
  <si>
    <t>required productions in cases</t>
  </si>
  <si>
    <t>INPUT FOR DIRECT MATERIAL BUDGET</t>
  </si>
  <si>
    <t>raw material required per unit of FG</t>
  </si>
  <si>
    <t>pounds</t>
  </si>
  <si>
    <t xml:space="preserve">desired ending inventory </t>
  </si>
  <si>
    <t>of the next quarter production needs</t>
  </si>
  <si>
    <t>beginning raw material inventory</t>
  </si>
  <si>
    <t>raw material cost per pound</t>
  </si>
  <si>
    <t>% of purchases paid in the period</t>
  </si>
  <si>
    <t>% of purchases paid in the next period</t>
  </si>
  <si>
    <t>accounts payable</t>
  </si>
  <si>
    <t>desired ending inventory (at the end of the year)</t>
  </si>
  <si>
    <t>$</t>
  </si>
  <si>
    <t>required production</t>
  </si>
  <si>
    <t>raw material needed for the production</t>
  </si>
  <si>
    <t>add desired ending raw material inventory</t>
  </si>
  <si>
    <t>no sum!</t>
  </si>
  <si>
    <t>total raw material needs</t>
  </si>
  <si>
    <t>less beginning raw material inventory</t>
  </si>
  <si>
    <t>raw material to be purchased</t>
  </si>
  <si>
    <t>cost of raw material to be purchased</t>
  </si>
  <si>
    <t>consumption for the production</t>
  </si>
  <si>
    <t>disbursements</t>
  </si>
  <si>
    <t>first quarter purchases</t>
  </si>
  <si>
    <t>second quarter purchases</t>
  </si>
  <si>
    <t>third quarter purchases</t>
  </si>
  <si>
    <t>fourth quarter purchases</t>
  </si>
  <si>
    <t>total</t>
  </si>
  <si>
    <t>will be reported in BS</t>
  </si>
  <si>
    <t>in income budget</t>
  </si>
  <si>
    <t>in cash budget</t>
  </si>
  <si>
    <t>INPUT FOR DIRECT LABOR BUDGET</t>
  </si>
  <si>
    <t>h of direct labor per case</t>
  </si>
  <si>
    <t>dl cost per hour</t>
  </si>
  <si>
    <t>t</t>
  </si>
  <si>
    <t>total direct labour hours needed</t>
  </si>
  <si>
    <t>total costs</t>
  </si>
  <si>
    <t>all to be paid</t>
  </si>
  <si>
    <t>will be reported in income statement</t>
  </si>
  <si>
    <t>INPUT FOR OH BUDGET</t>
  </si>
  <si>
    <t>variable oh rate</t>
  </si>
  <si>
    <t>per dl hour</t>
  </si>
  <si>
    <t>fixed costs</t>
  </si>
  <si>
    <t>depreciation</t>
  </si>
  <si>
    <t>total dl hours</t>
  </si>
  <si>
    <t>variable man costs</t>
  </si>
  <si>
    <t>total oh</t>
  </si>
  <si>
    <t>less depreciation</t>
  </si>
  <si>
    <t>cash disbursements</t>
  </si>
  <si>
    <t>will be reported again in income statement</t>
  </si>
  <si>
    <t>per each dl hour</t>
  </si>
  <si>
    <t>unit product cost</t>
  </si>
  <si>
    <t>quantity</t>
  </si>
  <si>
    <t>cost</t>
  </si>
  <si>
    <t>DM</t>
  </si>
  <si>
    <t>DL</t>
  </si>
  <si>
    <t>OH</t>
  </si>
  <si>
    <t>per case</t>
  </si>
  <si>
    <t>COGS</t>
  </si>
  <si>
    <t>gross margin</t>
  </si>
  <si>
    <t>period costs</t>
  </si>
  <si>
    <t>INPUT FOR PERIOD COSTS</t>
  </si>
  <si>
    <t>variable selling&amp;adm cost per case</t>
  </si>
  <si>
    <t>variable costs</t>
  </si>
  <si>
    <t>advertising</t>
  </si>
  <si>
    <t>executive salaries</t>
  </si>
  <si>
    <t>insurance</t>
  </si>
  <si>
    <t>property taxes</t>
  </si>
  <si>
    <t>cash budget</t>
  </si>
  <si>
    <t>total 1</t>
  </si>
  <si>
    <t>income statement</t>
  </si>
  <si>
    <t>net operating income</t>
  </si>
  <si>
    <t>interests</t>
  </si>
  <si>
    <t>net income</t>
  </si>
  <si>
    <t>beginning cash balance</t>
  </si>
  <si>
    <t>input data for cash budget</t>
  </si>
  <si>
    <t>beginning balance from 2011</t>
  </si>
  <si>
    <t>desired ending cash balance</t>
  </si>
  <si>
    <t>desired cash balance</t>
  </si>
  <si>
    <t>available cash</t>
  </si>
  <si>
    <t>collections from customers</t>
  </si>
  <si>
    <t>direct materials</t>
  </si>
  <si>
    <t>direct labour</t>
  </si>
  <si>
    <t>equipment</t>
  </si>
  <si>
    <t>dividends</t>
  </si>
  <si>
    <t>total disbursements</t>
  </si>
  <si>
    <t>period cash flow</t>
  </si>
  <si>
    <t>excess or deficiency before financing</t>
  </si>
  <si>
    <t xml:space="preserve">borrowing </t>
  </si>
  <si>
    <t>repayments</t>
  </si>
  <si>
    <t>financing:</t>
  </si>
  <si>
    <t>total financing</t>
  </si>
  <si>
    <t>cash ending balance</t>
  </si>
  <si>
    <t>interest rate</t>
  </si>
  <si>
    <t>will be reported BS</t>
  </si>
  <si>
    <t>sum!!</t>
  </si>
  <si>
    <t>cash balance</t>
  </si>
  <si>
    <t>raw materials</t>
  </si>
  <si>
    <t>FG inventory</t>
  </si>
  <si>
    <t>total current assets</t>
  </si>
  <si>
    <t>land</t>
  </si>
  <si>
    <t>input for BS</t>
  </si>
  <si>
    <t>plant and equipment</t>
  </si>
  <si>
    <t>less accumulated depr</t>
  </si>
  <si>
    <t>depreciaton 2012</t>
  </si>
  <si>
    <t>depreciation 2011 accumulated</t>
  </si>
  <si>
    <t>total not current assets</t>
  </si>
  <si>
    <t>plant and equipment 2011</t>
  </si>
  <si>
    <t>total assets</t>
  </si>
  <si>
    <t>liabilities and stock</t>
  </si>
  <si>
    <t>stockholder equity</t>
  </si>
  <si>
    <t>stockholder equity 2011</t>
  </si>
  <si>
    <t>total liab and stocks</t>
  </si>
  <si>
    <t>p</t>
  </si>
  <si>
    <t>collections</t>
  </si>
  <si>
    <t>sales I quarter</t>
  </si>
  <si>
    <t>sales II quarter</t>
  </si>
  <si>
    <t>sales III quarter</t>
  </si>
  <si>
    <t>sales IV quarter</t>
  </si>
  <si>
    <t>production budget</t>
  </si>
  <si>
    <t>units to be sold</t>
  </si>
  <si>
    <t>add desired ending I</t>
  </si>
  <si>
    <t>less beginning I</t>
  </si>
  <si>
    <t>raw material budget</t>
  </si>
  <si>
    <t>add ending I</t>
  </si>
  <si>
    <t>raw mat to be purchased</t>
  </si>
  <si>
    <t>purchases I quarter</t>
  </si>
  <si>
    <t>purchases II quarter</t>
  </si>
  <si>
    <t>purchases III quarter</t>
  </si>
  <si>
    <t>purchases IV quarter</t>
  </si>
  <si>
    <t>costs of purchasing</t>
  </si>
  <si>
    <t>consumption</t>
  </si>
  <si>
    <t>Year 3 I quarter</t>
  </si>
  <si>
    <t>Year</t>
  </si>
  <si>
    <t>Year 3 II quarter</t>
  </si>
  <si>
    <t>to be paid next year</t>
  </si>
  <si>
    <t>year</t>
  </si>
  <si>
    <t>I</t>
  </si>
  <si>
    <t>II</t>
  </si>
  <si>
    <t>III</t>
  </si>
  <si>
    <t>IV</t>
  </si>
  <si>
    <t>serve per determinare i fabbisogni di materie prime</t>
  </si>
  <si>
    <t>che va in conto economico come consumo a far parte del costo del venduto</t>
  </si>
  <si>
    <t>ultimo trimestre (il 36.500=0,1*365.000)</t>
  </si>
  <si>
    <t>production needs kg</t>
  </si>
  <si>
    <t>L</t>
  </si>
  <si>
    <t>A</t>
  </si>
  <si>
    <t>S</t>
  </si>
  <si>
    <t>Tot</t>
  </si>
  <si>
    <t>vendite di maggio</t>
  </si>
  <si>
    <t>vendite di giugno</t>
  </si>
  <si>
    <t>vendite di luglio</t>
  </si>
  <si>
    <t>vendite di agosto</t>
  </si>
  <si>
    <t>vendite di settembre</t>
  </si>
  <si>
    <t>crediti al 30 sett</t>
  </si>
  <si>
    <t>70 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</si>
</sst>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3" fontId="0" fillId="3" borderId="0" xfId="0" applyNumberFormat="1" applyFill="1"/>
    <xf numFmtId="0" fontId="0" fillId="3" borderId="0" xfId="0" applyFill="1"/>
    <xf numFmtId="0" fontId="3" fillId="0" borderId="0" xfId="0" applyFont="1"/>
    <xf numFmtId="3" fontId="4" fillId="3" borderId="0" xfId="0" applyNumberFormat="1" applyFont="1" applyFill="1"/>
    <xf numFmtId="165" fontId="0" fillId="0" borderId="0" xfId="1" applyNumberFormat="1" applyFont="1"/>
    <xf numFmtId="165" fontId="0" fillId="3" borderId="0" xfId="1" applyNumberFormat="1" applyFont="1" applyFill="1"/>
    <xf numFmtId="165" fontId="0" fillId="2" borderId="0" xfId="1" applyNumberFormat="1" applyFont="1" applyFill="1"/>
    <xf numFmtId="165" fontId="0" fillId="4" borderId="0" xfId="1" applyNumberFormat="1" applyFont="1" applyFill="1"/>
    <xf numFmtId="165" fontId="0" fillId="0" borderId="0" xfId="1" applyNumberFormat="1" applyFont="1" applyAlignment="1">
      <alignment wrapText="1"/>
    </xf>
    <xf numFmtId="0" fontId="0" fillId="4" borderId="0" xfId="0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8" zoomScale="160" zoomScaleNormal="160" zoomScalePageLayoutView="160" workbookViewId="0">
      <selection activeCell="B36" sqref="A36:XFD36"/>
    </sheetView>
  </sheetViews>
  <sheetFormatPr defaultColWidth="8.85546875" defaultRowHeight="15" x14ac:dyDescent="0.25"/>
  <cols>
    <col min="1" max="1" width="50.42578125" bestFit="1" customWidth="1"/>
  </cols>
  <sheetData>
    <row r="1" spans="1:6" x14ac:dyDescent="0.2">
      <c r="A1" s="1" t="s">
        <v>0</v>
      </c>
      <c r="B1">
        <v>1</v>
      </c>
      <c r="C1">
        <v>2</v>
      </c>
      <c r="D1">
        <v>3</v>
      </c>
      <c r="E1">
        <v>4</v>
      </c>
      <c r="F1" t="s">
        <v>1</v>
      </c>
    </row>
    <row r="3" spans="1:6" x14ac:dyDescent="0.2">
      <c r="A3" t="s">
        <v>2</v>
      </c>
      <c r="B3">
        <v>10000</v>
      </c>
      <c r="C3">
        <v>30000</v>
      </c>
      <c r="D3">
        <v>40000</v>
      </c>
      <c r="E3">
        <v>20000</v>
      </c>
      <c r="F3">
        <f>SUM(B3:E3)</f>
        <v>100000</v>
      </c>
    </row>
    <row r="4" spans="1:6" x14ac:dyDescent="0.2">
      <c r="A4" t="s">
        <v>3</v>
      </c>
      <c r="B4">
        <v>20</v>
      </c>
    </row>
    <row r="5" spans="1:6" x14ac:dyDescent="0.2">
      <c r="A5" t="s">
        <v>4</v>
      </c>
      <c r="B5">
        <v>0.7</v>
      </c>
    </row>
    <row r="6" spans="1:6" x14ac:dyDescent="0.2">
      <c r="A6" t="s">
        <v>5</v>
      </c>
      <c r="B6">
        <v>0.3</v>
      </c>
    </row>
    <row r="7" spans="1:6" x14ac:dyDescent="0.2">
      <c r="A7" t="s">
        <v>6</v>
      </c>
      <c r="B7">
        <v>90000</v>
      </c>
    </row>
    <row r="9" spans="1:6" x14ac:dyDescent="0.2">
      <c r="A9" s="1" t="s">
        <v>20</v>
      </c>
    </row>
    <row r="10" spans="1:6" x14ac:dyDescent="0.2">
      <c r="A10" t="s">
        <v>21</v>
      </c>
      <c r="B10">
        <v>0.2</v>
      </c>
      <c r="C10" t="s">
        <v>22</v>
      </c>
    </row>
    <row r="11" spans="1:6" x14ac:dyDescent="0.2">
      <c r="A11" t="s">
        <v>23</v>
      </c>
      <c r="B11" s="3">
        <v>2000</v>
      </c>
      <c r="C11" t="s">
        <v>24</v>
      </c>
      <c r="D11" t="s">
        <v>25</v>
      </c>
    </row>
    <row r="12" spans="1:6" x14ac:dyDescent="0.2">
      <c r="A12" t="s">
        <v>26</v>
      </c>
      <c r="B12" s="3">
        <v>3000</v>
      </c>
      <c r="C12" t="s">
        <v>27</v>
      </c>
    </row>
    <row r="14" spans="1:6" x14ac:dyDescent="0.2">
      <c r="A14" s="1" t="s">
        <v>34</v>
      </c>
    </row>
    <row r="15" spans="1:6" x14ac:dyDescent="0.2">
      <c r="A15" t="s">
        <v>35</v>
      </c>
      <c r="B15">
        <v>15</v>
      </c>
      <c r="C15" t="s">
        <v>36</v>
      </c>
    </row>
    <row r="16" spans="1:6" x14ac:dyDescent="0.2">
      <c r="A16" t="s">
        <v>37</v>
      </c>
      <c r="B16">
        <v>0.1</v>
      </c>
      <c r="C16" t="s">
        <v>38</v>
      </c>
    </row>
    <row r="17" spans="1:4" x14ac:dyDescent="0.2">
      <c r="A17" t="s">
        <v>39</v>
      </c>
      <c r="B17" s="3">
        <v>21000</v>
      </c>
      <c r="C17" t="s">
        <v>36</v>
      </c>
    </row>
    <row r="18" spans="1:4" x14ac:dyDescent="0.2">
      <c r="A18" t="s">
        <v>40</v>
      </c>
      <c r="B18">
        <v>0.2</v>
      </c>
      <c r="C18" t="s">
        <v>45</v>
      </c>
    </row>
    <row r="19" spans="1:4" x14ac:dyDescent="0.2">
      <c r="A19" t="s">
        <v>41</v>
      </c>
      <c r="B19">
        <v>0.5</v>
      </c>
    </row>
    <row r="20" spans="1:4" x14ac:dyDescent="0.2">
      <c r="A20" t="s">
        <v>42</v>
      </c>
      <c r="B20">
        <v>0.5</v>
      </c>
    </row>
    <row r="21" spans="1:4" x14ac:dyDescent="0.2">
      <c r="A21" t="s">
        <v>43</v>
      </c>
      <c r="B21" s="3">
        <v>25800</v>
      </c>
      <c r="C21" t="s">
        <v>45</v>
      </c>
    </row>
    <row r="22" spans="1:4" x14ac:dyDescent="0.2">
      <c r="A22" t="s">
        <v>44</v>
      </c>
      <c r="B22" s="3">
        <v>22500</v>
      </c>
      <c r="C22" t="s">
        <v>36</v>
      </c>
    </row>
    <row r="24" spans="1:4" x14ac:dyDescent="0.2">
      <c r="A24" s="1" t="s">
        <v>64</v>
      </c>
    </row>
    <row r="25" spans="1:4" x14ac:dyDescent="0.2">
      <c r="A25" t="s">
        <v>65</v>
      </c>
      <c r="B25">
        <v>0.4</v>
      </c>
    </row>
    <row r="26" spans="1:4" x14ac:dyDescent="0.2">
      <c r="A26" t="s">
        <v>66</v>
      </c>
      <c r="B26">
        <v>15</v>
      </c>
      <c r="C26" t="s">
        <v>45</v>
      </c>
    </row>
    <row r="28" spans="1:4" x14ac:dyDescent="0.2">
      <c r="A28" s="1" t="s">
        <v>72</v>
      </c>
    </row>
    <row r="29" spans="1:4" x14ac:dyDescent="0.2">
      <c r="A29" t="s">
        <v>73</v>
      </c>
      <c r="B29">
        <v>4</v>
      </c>
      <c r="C29" t="s">
        <v>45</v>
      </c>
      <c r="D29" t="s">
        <v>74</v>
      </c>
    </row>
    <row r="30" spans="1:4" x14ac:dyDescent="0.2">
      <c r="A30" t="s">
        <v>75</v>
      </c>
      <c r="B30" s="3">
        <v>60600</v>
      </c>
      <c r="C30" t="s">
        <v>45</v>
      </c>
    </row>
    <row r="31" spans="1:4" x14ac:dyDescent="0.2">
      <c r="A31" t="s">
        <v>76</v>
      </c>
      <c r="B31">
        <v>15000</v>
      </c>
      <c r="C31" t="s">
        <v>45</v>
      </c>
    </row>
    <row r="33" spans="1:6" x14ac:dyDescent="0.2">
      <c r="A33" s="8" t="s">
        <v>94</v>
      </c>
    </row>
    <row r="34" spans="1:6" x14ac:dyDescent="0.2">
      <c r="A34" t="s">
        <v>95</v>
      </c>
      <c r="B34">
        <v>1.8</v>
      </c>
      <c r="C34" t="s">
        <v>45</v>
      </c>
    </row>
    <row r="35" spans="1:6" x14ac:dyDescent="0.2">
      <c r="A35" t="s">
        <v>97</v>
      </c>
      <c r="B35">
        <v>20000</v>
      </c>
    </row>
    <row r="36" spans="1:6" x14ac:dyDescent="0.2">
      <c r="A36" t="s">
        <v>98</v>
      </c>
      <c r="B36" s="3">
        <v>55000</v>
      </c>
    </row>
    <row r="37" spans="1:6" x14ac:dyDescent="0.2">
      <c r="A37" t="s">
        <v>99</v>
      </c>
      <c r="B37">
        <v>10000</v>
      </c>
    </row>
    <row r="38" spans="1:6" x14ac:dyDescent="0.2">
      <c r="A38" t="s">
        <v>100</v>
      </c>
      <c r="B38" s="3">
        <v>4000</v>
      </c>
    </row>
    <row r="39" spans="1:6" x14ac:dyDescent="0.2">
      <c r="A39" t="s">
        <v>76</v>
      </c>
      <c r="B39" s="3">
        <v>10000</v>
      </c>
    </row>
    <row r="41" spans="1:6" x14ac:dyDescent="0.2">
      <c r="A41" s="8" t="s">
        <v>108</v>
      </c>
    </row>
    <row r="42" spans="1:6" x14ac:dyDescent="0.2">
      <c r="A42" t="s">
        <v>109</v>
      </c>
      <c r="B42">
        <v>42500</v>
      </c>
    </row>
    <row r="43" spans="1:6" x14ac:dyDescent="0.2">
      <c r="A43" t="s">
        <v>110</v>
      </c>
      <c r="B43">
        <v>30000</v>
      </c>
    </row>
    <row r="44" spans="1:6" x14ac:dyDescent="0.2">
      <c r="A44" t="s">
        <v>135</v>
      </c>
      <c r="B44">
        <v>50000</v>
      </c>
      <c r="C44">
        <v>40000</v>
      </c>
      <c r="D44">
        <v>20000</v>
      </c>
      <c r="E44">
        <v>20000</v>
      </c>
      <c r="F44">
        <f>SUM(B44:E44)</f>
        <v>130000</v>
      </c>
    </row>
    <row r="45" spans="1:6" x14ac:dyDescent="0.2">
      <c r="A45" t="s">
        <v>117</v>
      </c>
      <c r="B45">
        <v>8000</v>
      </c>
    </row>
    <row r="46" spans="1:6" x14ac:dyDescent="0.2">
      <c r="A46" t="s">
        <v>126</v>
      </c>
      <c r="B46">
        <v>0.01</v>
      </c>
    </row>
    <row r="47" spans="1:6" x14ac:dyDescent="0.2">
      <c r="B47">
        <v>12</v>
      </c>
    </row>
    <row r="48" spans="1:6" x14ac:dyDescent="0.2">
      <c r="A48" s="8" t="s">
        <v>134</v>
      </c>
      <c r="B48">
        <v>9</v>
      </c>
    </row>
    <row r="49" spans="1:4" x14ac:dyDescent="0.2">
      <c r="A49" t="s">
        <v>133</v>
      </c>
      <c r="B49">
        <v>80000</v>
      </c>
    </row>
    <row r="50" spans="1:4" x14ac:dyDescent="0.2">
      <c r="A50" t="s">
        <v>137</v>
      </c>
      <c r="B50">
        <v>100000</v>
      </c>
      <c r="C50">
        <v>60000</v>
      </c>
      <c r="D50">
        <v>40000</v>
      </c>
    </row>
    <row r="51" spans="1:4" x14ac:dyDescent="0.2">
      <c r="A51" t="s">
        <v>140</v>
      </c>
      <c r="B51">
        <v>700000</v>
      </c>
    </row>
    <row r="52" spans="1:4" x14ac:dyDescent="0.2">
      <c r="A52" t="s">
        <v>138</v>
      </c>
      <c r="B52">
        <v>292000</v>
      </c>
    </row>
    <row r="53" spans="1:4" x14ac:dyDescent="0.2">
      <c r="A53" t="s">
        <v>144</v>
      </c>
      <c r="B53">
        <v>624900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zoomScale="214" zoomScaleNormal="214" zoomScalePageLayoutView="214" workbookViewId="0">
      <selection activeCell="B36" sqref="A36:XFD36"/>
    </sheetView>
  </sheetViews>
  <sheetFormatPr defaultColWidth="8.85546875" defaultRowHeight="15" x14ac:dyDescent="0.25"/>
  <cols>
    <col min="1" max="1" width="20.28515625" bestFit="1" customWidth="1"/>
  </cols>
  <sheetData>
    <row r="2" spans="1:2" x14ac:dyDescent="0.2">
      <c r="A2" t="s">
        <v>10</v>
      </c>
      <c r="B2">
        <f>'sales and collections'!F2</f>
        <v>2000000</v>
      </c>
    </row>
    <row r="3" spans="1:2" x14ac:dyDescent="0.2">
      <c r="A3" t="s">
        <v>91</v>
      </c>
      <c r="B3">
        <f>'full cost of goods sold'!D6*input!F3</f>
        <v>1300000</v>
      </c>
    </row>
    <row r="4" spans="1:2" x14ac:dyDescent="0.2">
      <c r="A4" t="s">
        <v>92</v>
      </c>
      <c r="B4">
        <f>B2-B3</f>
        <v>700000</v>
      </c>
    </row>
    <row r="5" spans="1:2" x14ac:dyDescent="0.2">
      <c r="A5" t="s">
        <v>93</v>
      </c>
      <c r="B5" s="3">
        <f>'period costs budget'!F9</f>
        <v>576000</v>
      </c>
    </row>
    <row r="6" spans="1:2" x14ac:dyDescent="0.2">
      <c r="A6" t="s">
        <v>104</v>
      </c>
      <c r="B6" s="3">
        <f>B4-B5</f>
        <v>124000</v>
      </c>
    </row>
    <row r="7" spans="1:2" x14ac:dyDescent="0.2">
      <c r="A7" t="s">
        <v>105</v>
      </c>
      <c r="B7">
        <f>'cash budget'!F25</f>
        <v>-21900</v>
      </c>
    </row>
    <row r="8" spans="1:2" x14ac:dyDescent="0.2">
      <c r="A8" t="s">
        <v>106</v>
      </c>
      <c r="B8" s="9">
        <f>SUM(B6:B7)</f>
        <v>102100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5" zoomScale="226" zoomScaleNormal="226" zoomScalePageLayoutView="226" workbookViewId="0">
      <selection activeCell="B36" sqref="A36:XFD36"/>
    </sheetView>
  </sheetViews>
  <sheetFormatPr defaultColWidth="8.85546875" defaultRowHeight="15" x14ac:dyDescent="0.25"/>
  <cols>
    <col min="1" max="1" width="21" bestFit="1" customWidth="1"/>
  </cols>
  <sheetData>
    <row r="1" spans="1:4" x14ac:dyDescent="0.2">
      <c r="A1" s="2" t="s">
        <v>19</v>
      </c>
    </row>
    <row r="2" spans="1:4" x14ac:dyDescent="0.2">
      <c r="A2" t="s">
        <v>129</v>
      </c>
      <c r="B2" s="3">
        <f>'cash budget'!F26</f>
        <v>41400</v>
      </c>
    </row>
    <row r="3" spans="1:4" x14ac:dyDescent="0.2">
      <c r="A3" t="s">
        <v>12</v>
      </c>
      <c r="B3">
        <f>'sales and collections'!E12</f>
        <v>120000</v>
      </c>
    </row>
    <row r="4" spans="1:4" x14ac:dyDescent="0.2">
      <c r="A4" t="s">
        <v>130</v>
      </c>
      <c r="B4">
        <f>input!B22*input!B18</f>
        <v>4500</v>
      </c>
    </row>
    <row r="5" spans="1:4" x14ac:dyDescent="0.2">
      <c r="A5" t="s">
        <v>131</v>
      </c>
      <c r="B5">
        <f>'full cost of goods sold'!D6*input!B12</f>
        <v>39000</v>
      </c>
    </row>
    <row r="6" spans="1:4" x14ac:dyDescent="0.2">
      <c r="A6" t="s">
        <v>132</v>
      </c>
      <c r="B6" s="3">
        <f>SUM(B2:B5)</f>
        <v>204900</v>
      </c>
    </row>
    <row r="7" spans="1:4" x14ac:dyDescent="0.2">
      <c r="A7" t="s">
        <v>133</v>
      </c>
      <c r="B7">
        <f>input!B49</f>
        <v>80000</v>
      </c>
    </row>
    <row r="8" spans="1:4" x14ac:dyDescent="0.2">
      <c r="A8" t="s">
        <v>135</v>
      </c>
      <c r="B8">
        <f>input!B51+input!F44</f>
        <v>830000</v>
      </c>
      <c r="C8">
        <v>2011</v>
      </c>
      <c r="D8">
        <v>2012</v>
      </c>
    </row>
    <row r="9" spans="1:4" x14ac:dyDescent="0.2">
      <c r="A9" t="s">
        <v>136</v>
      </c>
      <c r="B9">
        <f>input!B52+input!B50</f>
        <v>392000</v>
      </c>
      <c r="C9">
        <v>292000</v>
      </c>
      <c r="D9">
        <v>100000</v>
      </c>
    </row>
    <row r="10" spans="1:4" x14ac:dyDescent="0.2">
      <c r="A10" t="s">
        <v>139</v>
      </c>
      <c r="B10">
        <f>B7+B8-B9</f>
        <v>518000</v>
      </c>
    </row>
    <row r="11" spans="1:4" x14ac:dyDescent="0.2">
      <c r="A11" t="s">
        <v>141</v>
      </c>
      <c r="B11" s="3">
        <f>B6+B10</f>
        <v>722900</v>
      </c>
    </row>
    <row r="12" spans="1:4" x14ac:dyDescent="0.2">
      <c r="A12" t="s">
        <v>142</v>
      </c>
    </row>
    <row r="13" spans="1:4" x14ac:dyDescent="0.2">
      <c r="A13" t="s">
        <v>43</v>
      </c>
      <c r="B13">
        <f>'direct material and disbursemen'!F16</f>
        <v>27900</v>
      </c>
    </row>
    <row r="14" spans="1:4" x14ac:dyDescent="0.2">
      <c r="A14" t="s">
        <v>143</v>
      </c>
      <c r="B14" s="3">
        <f>input!B53+'income budget'!B8-'cash budget'!F17</f>
        <v>695000</v>
      </c>
    </row>
    <row r="15" spans="1:4" x14ac:dyDescent="0.2">
      <c r="A15" t="s">
        <v>145</v>
      </c>
      <c r="B15">
        <f>SUM(B13:B14)</f>
        <v>722900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="178" zoomScaleNormal="178" zoomScalePageLayoutView="178" workbookViewId="0">
      <selection activeCell="B36" sqref="A36:XFD36"/>
    </sheetView>
  </sheetViews>
  <sheetFormatPr defaultColWidth="8.85546875" defaultRowHeight="15" x14ac:dyDescent="0.25"/>
  <sheetData>
    <row r="2" spans="1:1" x14ac:dyDescent="0.2">
      <c r="A2">
        <f>input!B46*input!B47*'cash budget'!B22</f>
        <v>15600</v>
      </c>
    </row>
    <row r="3" spans="1:1" x14ac:dyDescent="0.2">
      <c r="A3">
        <f>input!B46*input!B48*'cash budget'!C22</f>
        <v>6300</v>
      </c>
    </row>
    <row r="4" spans="1:1" x14ac:dyDescent="0.2">
      <c r="A4">
        <f>SUM(A2:A3)</f>
        <v>21900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E30" zoomScale="190" zoomScaleNormal="190" zoomScalePageLayoutView="190" workbookViewId="0">
      <selection activeCell="G36" sqref="G36"/>
    </sheetView>
  </sheetViews>
  <sheetFormatPr defaultColWidth="8.85546875" defaultRowHeight="15" x14ac:dyDescent="0.25"/>
  <cols>
    <col min="1" max="1" width="23.140625" bestFit="1" customWidth="1"/>
    <col min="2" max="5" width="14" bestFit="1" customWidth="1"/>
    <col min="6" max="6" width="15.28515625" bestFit="1" customWidth="1"/>
    <col min="7" max="7" width="15.5703125" customWidth="1"/>
    <col min="8" max="8" width="11" bestFit="1" customWidth="1"/>
  </cols>
  <sheetData>
    <row r="1" spans="1:9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0"/>
      <c r="B2" s="10">
        <v>1</v>
      </c>
      <c r="C2" s="10">
        <v>2</v>
      </c>
      <c r="D2" s="10">
        <v>3</v>
      </c>
      <c r="E2" s="10">
        <v>4</v>
      </c>
      <c r="F2" s="10">
        <v>1</v>
      </c>
      <c r="G2" s="10">
        <v>2</v>
      </c>
      <c r="H2" s="10"/>
      <c r="I2" s="10"/>
    </row>
    <row r="3" spans="1:9" x14ac:dyDescent="0.2">
      <c r="A3" s="10" t="s">
        <v>7</v>
      </c>
      <c r="B3" s="10">
        <v>40000</v>
      </c>
      <c r="C3" s="10">
        <v>60000</v>
      </c>
      <c r="D3" s="10">
        <v>100000</v>
      </c>
      <c r="E3" s="10">
        <v>50000</v>
      </c>
      <c r="F3" s="10">
        <v>70000</v>
      </c>
      <c r="G3" s="10">
        <v>80000</v>
      </c>
      <c r="H3" s="10"/>
      <c r="I3" s="10"/>
    </row>
    <row r="4" spans="1:9" x14ac:dyDescent="0.2">
      <c r="A4" s="10" t="s">
        <v>146</v>
      </c>
      <c r="B4" s="10">
        <v>8</v>
      </c>
      <c r="C4" s="10"/>
      <c r="D4" s="10"/>
      <c r="E4" s="10"/>
      <c r="F4" s="10"/>
      <c r="G4" s="10"/>
      <c r="H4" s="10"/>
      <c r="I4" s="10"/>
    </row>
    <row r="5" spans="1:9" x14ac:dyDescent="0.2">
      <c r="A5" s="10"/>
      <c r="B5" s="11">
        <f>$B$4*B3</f>
        <v>320000</v>
      </c>
      <c r="C5" s="11">
        <f t="shared" ref="C5:E5" si="0">$B$4*C3</f>
        <v>480000</v>
      </c>
      <c r="D5" s="11">
        <f t="shared" si="0"/>
        <v>800000</v>
      </c>
      <c r="E5" s="11">
        <f t="shared" si="0"/>
        <v>400000</v>
      </c>
      <c r="F5" s="11">
        <f>SUM(B5:E5)</f>
        <v>2000000</v>
      </c>
      <c r="G5" s="10"/>
      <c r="H5" s="10"/>
      <c r="I5" s="10"/>
    </row>
    <row r="6" spans="1:9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">
      <c r="A7" s="10" t="s">
        <v>147</v>
      </c>
      <c r="B7" s="10"/>
      <c r="C7" s="10"/>
      <c r="D7" s="10"/>
      <c r="E7" s="10"/>
      <c r="F7" s="10"/>
      <c r="G7" s="10"/>
      <c r="H7" s="10"/>
      <c r="I7" s="10"/>
    </row>
    <row r="8" spans="1:9" x14ac:dyDescent="0.2">
      <c r="A8" s="10" t="s">
        <v>12</v>
      </c>
      <c r="B8" s="10">
        <v>65000</v>
      </c>
      <c r="C8" s="10"/>
      <c r="D8" s="10"/>
      <c r="E8" s="10"/>
      <c r="F8" s="10"/>
      <c r="G8" s="10"/>
      <c r="H8" s="10"/>
      <c r="I8" s="10"/>
    </row>
    <row r="9" spans="1:9" x14ac:dyDescent="0.2">
      <c r="A9" s="10" t="s">
        <v>148</v>
      </c>
      <c r="B9" s="10">
        <f>0.75*B5</f>
        <v>240000</v>
      </c>
      <c r="C9" s="10">
        <f>0.25*B5</f>
        <v>80000</v>
      </c>
      <c r="D9" s="10"/>
      <c r="E9" s="10"/>
      <c r="F9" s="10"/>
      <c r="G9" s="10"/>
      <c r="H9" s="10"/>
      <c r="I9" s="10"/>
    </row>
    <row r="10" spans="1:9" x14ac:dyDescent="0.2">
      <c r="A10" s="10" t="s">
        <v>149</v>
      </c>
      <c r="B10" s="10"/>
      <c r="C10" s="10">
        <f>0.75*C5</f>
        <v>360000</v>
      </c>
      <c r="D10" s="10">
        <f>0.25*C5</f>
        <v>120000</v>
      </c>
      <c r="E10" s="10"/>
      <c r="F10" s="10"/>
      <c r="G10" s="10"/>
      <c r="H10" s="10"/>
      <c r="I10" s="10"/>
    </row>
    <row r="11" spans="1:9" x14ac:dyDescent="0.2">
      <c r="A11" s="10" t="s">
        <v>150</v>
      </c>
      <c r="B11" s="10"/>
      <c r="C11" s="10"/>
      <c r="D11" s="10">
        <f>0.75*D5</f>
        <v>600000</v>
      </c>
      <c r="E11" s="10">
        <f>0.25*D5</f>
        <v>200000</v>
      </c>
      <c r="F11" s="10"/>
      <c r="G11" s="10"/>
      <c r="H11" s="10"/>
      <c r="I11" s="10"/>
    </row>
    <row r="12" spans="1:9" x14ac:dyDescent="0.2">
      <c r="A12" s="10" t="s">
        <v>151</v>
      </c>
      <c r="B12" s="10"/>
      <c r="C12" s="10"/>
      <c r="D12" s="10"/>
      <c r="E12" s="10">
        <f>0.75*E5</f>
        <v>300000</v>
      </c>
      <c r="F12" s="10"/>
      <c r="G12" s="10">
        <f>0.25*E5</f>
        <v>100000</v>
      </c>
      <c r="H12" s="10" t="s">
        <v>12</v>
      </c>
      <c r="I12" s="10"/>
    </row>
    <row r="13" spans="1:9" x14ac:dyDescent="0.2">
      <c r="A13" s="10"/>
      <c r="B13" s="13">
        <f>SUM(B8:B12)</f>
        <v>305000</v>
      </c>
      <c r="C13" s="13">
        <f t="shared" ref="C13:E13" si="1">SUM(C8:C12)</f>
        <v>440000</v>
      </c>
      <c r="D13" s="13">
        <f t="shared" si="1"/>
        <v>720000</v>
      </c>
      <c r="E13" s="13">
        <f t="shared" si="1"/>
        <v>500000</v>
      </c>
      <c r="F13" s="13">
        <f>SUM(B13:E13)</f>
        <v>1965000</v>
      </c>
      <c r="G13" s="10"/>
      <c r="H13" s="10"/>
      <c r="I13" s="10"/>
    </row>
    <row r="14" spans="1:9" x14ac:dyDescent="0.2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">
      <c r="A15" s="10" t="s">
        <v>152</v>
      </c>
      <c r="B15" s="10"/>
      <c r="C15" s="10"/>
      <c r="D15" s="10"/>
      <c r="E15" s="10"/>
      <c r="F15" s="10" t="s">
        <v>166</v>
      </c>
      <c r="G15" s="10" t="s">
        <v>165</v>
      </c>
      <c r="H15" s="10" t="s">
        <v>167</v>
      </c>
      <c r="I15" s="10"/>
    </row>
    <row r="16" spans="1:9" x14ac:dyDescent="0.2">
      <c r="A16" s="10" t="s">
        <v>153</v>
      </c>
      <c r="B16" s="10">
        <v>40000</v>
      </c>
      <c r="C16" s="10">
        <v>60000</v>
      </c>
      <c r="D16" s="10">
        <v>100000</v>
      </c>
      <c r="E16" s="10">
        <v>50000</v>
      </c>
      <c r="F16" s="10">
        <f>SUM(B16:E16)</f>
        <v>250000</v>
      </c>
      <c r="G16" s="10">
        <v>70000</v>
      </c>
      <c r="H16" s="10">
        <v>80000</v>
      </c>
      <c r="I16" s="10"/>
    </row>
    <row r="17" spans="1:9" x14ac:dyDescent="0.2">
      <c r="A17" s="10" t="s">
        <v>154</v>
      </c>
      <c r="B17" s="10">
        <f>0.3*C16</f>
        <v>18000</v>
      </c>
      <c r="C17" s="10">
        <f>0.3*D16</f>
        <v>30000</v>
      </c>
      <c r="D17" s="10">
        <f>0.3*E16</f>
        <v>15000</v>
      </c>
      <c r="E17" s="13">
        <f>0.3*F3</f>
        <v>21000</v>
      </c>
      <c r="F17" s="13">
        <f>E17</f>
        <v>21000</v>
      </c>
      <c r="G17" s="10">
        <f>0.3*H16</f>
        <v>24000</v>
      </c>
      <c r="H17" s="10"/>
      <c r="I17" s="10"/>
    </row>
    <row r="18" spans="1:9" x14ac:dyDescent="0.2">
      <c r="A18" s="10" t="s">
        <v>31</v>
      </c>
      <c r="B18" s="10">
        <f>SUM(B16:B17)</f>
        <v>58000</v>
      </c>
      <c r="C18" s="10">
        <f>SUM(C16:C17)</f>
        <v>90000</v>
      </c>
      <c r="D18" s="10">
        <f>SUM(D16:D17)</f>
        <v>115000</v>
      </c>
      <c r="E18" s="10">
        <f>SUM(E16:E17)</f>
        <v>71000</v>
      </c>
      <c r="F18" s="10">
        <f>F16+F17</f>
        <v>271000</v>
      </c>
      <c r="G18" s="10">
        <f>SUM(G16:G17)</f>
        <v>94000</v>
      </c>
      <c r="H18" s="10"/>
      <c r="I18" s="10"/>
    </row>
    <row r="19" spans="1:9" x14ac:dyDescent="0.2">
      <c r="A19" s="10" t="s">
        <v>155</v>
      </c>
      <c r="B19" s="10">
        <v>12000</v>
      </c>
      <c r="C19" s="10">
        <f>B17</f>
        <v>18000</v>
      </c>
      <c r="D19" s="10">
        <f>C17</f>
        <v>30000</v>
      </c>
      <c r="E19" s="10">
        <f>D17</f>
        <v>15000</v>
      </c>
      <c r="F19" s="10">
        <f>B19</f>
        <v>12000</v>
      </c>
      <c r="G19" s="10">
        <f>E17</f>
        <v>21000</v>
      </c>
      <c r="H19" s="10"/>
      <c r="I19" s="10"/>
    </row>
    <row r="20" spans="1:9" x14ac:dyDescent="0.2">
      <c r="A20" s="10" t="s">
        <v>46</v>
      </c>
      <c r="B20" s="11">
        <f>B18-B19</f>
        <v>46000</v>
      </c>
      <c r="C20" s="11">
        <f>C18-C19</f>
        <v>72000</v>
      </c>
      <c r="D20" s="11">
        <f>D18-D19</f>
        <v>85000</v>
      </c>
      <c r="E20" s="11">
        <f>E18-E19</f>
        <v>56000</v>
      </c>
      <c r="F20" s="11">
        <f>SUM(B20:E20)</f>
        <v>259000</v>
      </c>
      <c r="G20" s="11">
        <f>G18-G19</f>
        <v>73000</v>
      </c>
      <c r="H20" s="10" t="s">
        <v>174</v>
      </c>
      <c r="I20" s="10"/>
    </row>
    <row r="21" spans="1:9" x14ac:dyDescent="0.2">
      <c r="A21" s="10"/>
      <c r="B21" s="10"/>
      <c r="C21" s="10"/>
      <c r="D21" s="10"/>
      <c r="E21" s="10"/>
      <c r="F21" s="10"/>
      <c r="G21" s="10"/>
      <c r="H21" s="10" t="s">
        <v>176</v>
      </c>
      <c r="I21" s="10"/>
    </row>
    <row r="22" spans="1:9" x14ac:dyDescent="0.2">
      <c r="A22" s="10" t="s">
        <v>156</v>
      </c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0" t="s">
        <v>177</v>
      </c>
      <c r="B23" s="10">
        <f>5*B20</f>
        <v>230000</v>
      </c>
      <c r="C23" s="10">
        <f t="shared" ref="C23:E23" si="2">5*C20</f>
        <v>360000</v>
      </c>
      <c r="D23" s="10">
        <f t="shared" si="2"/>
        <v>425000</v>
      </c>
      <c r="E23" s="10">
        <f t="shared" si="2"/>
        <v>280000</v>
      </c>
      <c r="F23" s="10">
        <f>SUM(B23:E23)</f>
        <v>1295000</v>
      </c>
      <c r="G23" s="10">
        <f>5*G20</f>
        <v>365000</v>
      </c>
      <c r="H23" s="10"/>
      <c r="I23" s="10"/>
    </row>
    <row r="24" spans="1:9" x14ac:dyDescent="0.2">
      <c r="A24" s="10" t="s">
        <v>157</v>
      </c>
      <c r="B24" s="10">
        <f>0.1*C23</f>
        <v>36000</v>
      </c>
      <c r="C24" s="10">
        <f t="shared" ref="C24:D24" si="3">0.1*D23</f>
        <v>42500</v>
      </c>
      <c r="D24" s="10">
        <f t="shared" si="3"/>
        <v>28000</v>
      </c>
      <c r="E24" s="10">
        <f>0.1*G23</f>
        <v>36500</v>
      </c>
      <c r="F24" s="10">
        <f>E24</f>
        <v>36500</v>
      </c>
      <c r="G24" s="10"/>
      <c r="H24" s="10"/>
      <c r="I24" s="10"/>
    </row>
    <row r="25" spans="1:9" x14ac:dyDescent="0.2">
      <c r="A25" s="10" t="s">
        <v>31</v>
      </c>
      <c r="B25" s="10">
        <f>B23+B24</f>
        <v>266000</v>
      </c>
      <c r="C25" s="10">
        <f t="shared" ref="C25:E25" si="4">C23+C24</f>
        <v>402500</v>
      </c>
      <c r="D25" s="10">
        <f t="shared" si="4"/>
        <v>453000</v>
      </c>
      <c r="E25" s="10">
        <f t="shared" si="4"/>
        <v>316500</v>
      </c>
      <c r="F25" s="10">
        <f>F23+F24</f>
        <v>1331500</v>
      </c>
      <c r="G25" s="10"/>
      <c r="H25" s="10">
        <f>(F24-F26)*0.8</f>
        <v>10800</v>
      </c>
      <c r="I25" s="10"/>
    </row>
    <row r="26" spans="1:9" x14ac:dyDescent="0.2">
      <c r="A26" s="10" t="s">
        <v>155</v>
      </c>
      <c r="B26" s="10">
        <v>23000</v>
      </c>
      <c r="C26" s="10">
        <f>B24</f>
        <v>36000</v>
      </c>
      <c r="D26" s="10">
        <f>C24</f>
        <v>42500</v>
      </c>
      <c r="E26" s="10">
        <f>D24</f>
        <v>28000</v>
      </c>
      <c r="F26" s="10">
        <f>B26</f>
        <v>23000</v>
      </c>
      <c r="G26" s="10"/>
      <c r="H26" s="10"/>
      <c r="I26" s="10"/>
    </row>
    <row r="27" spans="1:9" x14ac:dyDescent="0.2">
      <c r="A27" s="10" t="s">
        <v>158</v>
      </c>
      <c r="B27" s="10">
        <f>B25-B26</f>
        <v>243000</v>
      </c>
      <c r="C27" s="10">
        <f t="shared" ref="C27:E27" si="5">C25-C26</f>
        <v>366500</v>
      </c>
      <c r="D27" s="10">
        <f t="shared" si="5"/>
        <v>410500</v>
      </c>
      <c r="E27" s="10">
        <f t="shared" si="5"/>
        <v>288500</v>
      </c>
      <c r="F27" s="10">
        <f>SUM(B27:E27)</f>
        <v>1308500</v>
      </c>
      <c r="G27" s="10"/>
      <c r="H27" s="10"/>
      <c r="I27" s="10"/>
    </row>
    <row r="28" spans="1:9" x14ac:dyDescent="0.2">
      <c r="A28" s="12" t="s">
        <v>163</v>
      </c>
      <c r="B28" s="12">
        <f>0.8*B27</f>
        <v>194400</v>
      </c>
      <c r="C28" s="12">
        <f t="shared" ref="C28:E28" si="6">0.8*C27</f>
        <v>293200</v>
      </c>
      <c r="D28" s="12">
        <f t="shared" si="6"/>
        <v>328400</v>
      </c>
      <c r="E28" s="12">
        <f t="shared" si="6"/>
        <v>230800</v>
      </c>
      <c r="F28" s="12">
        <f>SUM(B28:E28)</f>
        <v>1046800</v>
      </c>
      <c r="H28" s="10"/>
      <c r="I28" s="10"/>
    </row>
    <row r="29" spans="1:9" ht="90" x14ac:dyDescent="0.25">
      <c r="A29" s="10" t="s">
        <v>164</v>
      </c>
      <c r="B29" s="10">
        <f>0.8*B23</f>
        <v>184000</v>
      </c>
      <c r="C29" s="10">
        <f>0.8*C23</f>
        <v>288000</v>
      </c>
      <c r="D29" s="10">
        <f t="shared" ref="D29:E29" si="7">0.8*D23</f>
        <v>340000</v>
      </c>
      <c r="E29" s="10">
        <f t="shared" si="7"/>
        <v>224000</v>
      </c>
      <c r="F29" s="10">
        <f>SUM(B29:E29)</f>
        <v>1036000</v>
      </c>
      <c r="G29" s="14" t="s">
        <v>175</v>
      </c>
      <c r="H29" s="10">
        <f>F28-F29</f>
        <v>10800</v>
      </c>
      <c r="I29" s="10"/>
    </row>
    <row r="30" spans="1:9" x14ac:dyDescent="0.2">
      <c r="A30" s="10" t="s">
        <v>55</v>
      </c>
      <c r="B30" s="10" t="s">
        <v>170</v>
      </c>
      <c r="C30" s="10" t="s">
        <v>171</v>
      </c>
      <c r="D30" s="10" t="s">
        <v>172</v>
      </c>
      <c r="E30" s="10" t="s">
        <v>173</v>
      </c>
      <c r="F30" s="10" t="s">
        <v>169</v>
      </c>
      <c r="G30" s="10"/>
      <c r="H30" s="10"/>
      <c r="I30" s="10"/>
    </row>
    <row r="31" spans="1:9" x14ac:dyDescent="0.2">
      <c r="A31" s="10" t="s">
        <v>43</v>
      </c>
      <c r="B31" s="10">
        <v>81500</v>
      </c>
      <c r="C31" s="10"/>
      <c r="D31" s="10"/>
      <c r="E31" s="10"/>
      <c r="F31" s="10"/>
      <c r="G31" s="10"/>
      <c r="H31" s="10"/>
      <c r="I31" s="10"/>
    </row>
    <row r="32" spans="1:9" x14ac:dyDescent="0.2">
      <c r="A32" s="10" t="s">
        <v>159</v>
      </c>
      <c r="B32" s="10">
        <f>0.6*B28</f>
        <v>116640</v>
      </c>
      <c r="C32" s="10">
        <f>0.4*B28</f>
        <v>77760</v>
      </c>
      <c r="D32" s="10"/>
      <c r="E32" s="10"/>
      <c r="F32" s="10"/>
      <c r="G32" s="10"/>
      <c r="H32" s="10"/>
      <c r="I32" s="10"/>
    </row>
    <row r="33" spans="1:9" x14ac:dyDescent="0.2">
      <c r="A33" s="10" t="s">
        <v>160</v>
      </c>
      <c r="B33" s="10"/>
      <c r="C33" s="10">
        <f>0.6*C28</f>
        <v>175920</v>
      </c>
      <c r="D33" s="10">
        <f>0.4*C28</f>
        <v>117280</v>
      </c>
      <c r="E33" s="10"/>
      <c r="F33" s="10"/>
      <c r="G33" s="10"/>
      <c r="H33" s="10"/>
      <c r="I33" s="10"/>
    </row>
    <row r="34" spans="1:9" x14ac:dyDescent="0.2">
      <c r="A34" s="10" t="s">
        <v>161</v>
      </c>
      <c r="B34" s="10"/>
      <c r="C34" s="10"/>
      <c r="D34" s="10">
        <f>0.6*D28</f>
        <v>197040</v>
      </c>
      <c r="E34" s="10">
        <f>0.4*D28</f>
        <v>131360</v>
      </c>
      <c r="F34" s="10"/>
      <c r="G34" s="10"/>
      <c r="H34" s="10"/>
      <c r="I34" s="10"/>
    </row>
    <row r="35" spans="1:9" x14ac:dyDescent="0.2">
      <c r="A35" s="10" t="s">
        <v>162</v>
      </c>
      <c r="B35" s="10"/>
      <c r="C35" s="10"/>
      <c r="D35" s="10"/>
      <c r="E35" s="11">
        <f>0.6*E28</f>
        <v>138480</v>
      </c>
      <c r="F35" s="10"/>
      <c r="G35" s="10">
        <f>0.4*E28</f>
        <v>92320</v>
      </c>
      <c r="H35" s="10" t="s">
        <v>168</v>
      </c>
      <c r="I35" s="10"/>
    </row>
    <row r="36" spans="1:9" x14ac:dyDescent="0.25">
      <c r="A36" s="10"/>
      <c r="B36" s="10">
        <f>SUM(B31:B35)</f>
        <v>198140</v>
      </c>
      <c r="C36" s="10">
        <f t="shared" ref="C36:E36" si="8">SUM(C31:C35)</f>
        <v>253680</v>
      </c>
      <c r="D36" s="10">
        <f t="shared" si="8"/>
        <v>314320</v>
      </c>
      <c r="E36" s="10">
        <f t="shared" si="8"/>
        <v>269840</v>
      </c>
      <c r="F36" s="10">
        <f>SUM(B36:E36)</f>
        <v>1035980</v>
      </c>
      <c r="G36" s="10"/>
      <c r="H36" s="10" t="s">
        <v>43</v>
      </c>
      <c r="I36" s="1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1" sqref="B11"/>
    </sheetView>
  </sheetViews>
  <sheetFormatPr defaultRowHeight="15" x14ac:dyDescent="0.25"/>
  <cols>
    <col min="1" max="1" width="25.140625" customWidth="1"/>
  </cols>
  <sheetData>
    <row r="1" spans="1:6" x14ac:dyDescent="0.25">
      <c r="B1" s="15" t="s">
        <v>178</v>
      </c>
      <c r="C1" s="15" t="s">
        <v>179</v>
      </c>
      <c r="D1" s="15" t="s">
        <v>180</v>
      </c>
      <c r="E1" t="s">
        <v>181</v>
      </c>
    </row>
    <row r="2" spans="1:6" x14ac:dyDescent="0.25">
      <c r="A2" t="s">
        <v>182</v>
      </c>
      <c r="B2">
        <f>0.1*430000</f>
        <v>43000</v>
      </c>
      <c r="E2">
        <f>SUM(B2:D2)</f>
        <v>43000</v>
      </c>
    </row>
    <row r="3" spans="1:6" x14ac:dyDescent="0.25">
      <c r="A3" t="s">
        <v>183</v>
      </c>
      <c r="B3">
        <f>0.7*540000</f>
        <v>378000</v>
      </c>
      <c r="C3">
        <f>0.1*540000</f>
        <v>54000</v>
      </c>
      <c r="E3">
        <f>SUM(B3:D3)</f>
        <v>432000</v>
      </c>
    </row>
    <row r="4" spans="1:6" x14ac:dyDescent="0.25">
      <c r="A4" t="s">
        <v>184</v>
      </c>
      <c r="B4">
        <f>0.2*600000</f>
        <v>120000</v>
      </c>
      <c r="C4">
        <f>0.7*600000</f>
        <v>420000</v>
      </c>
      <c r="D4">
        <f>0.1*600000</f>
        <v>60000</v>
      </c>
      <c r="E4">
        <f>SUM(B4:D4)</f>
        <v>600000</v>
      </c>
    </row>
    <row r="5" spans="1:6" x14ac:dyDescent="0.25">
      <c r="A5" t="s">
        <v>185</v>
      </c>
      <c r="C5">
        <f>0.2*900000</f>
        <v>180000</v>
      </c>
      <c r="D5">
        <f>0.7*900000</f>
        <v>630000</v>
      </c>
      <c r="E5">
        <f>SUM(C5:D5)</f>
        <v>810000</v>
      </c>
    </row>
    <row r="6" spans="1:6" x14ac:dyDescent="0.25">
      <c r="A6" t="s">
        <v>186</v>
      </c>
      <c r="D6">
        <f>0.2*500000</f>
        <v>100000</v>
      </c>
      <c r="E6">
        <f>SUM(D6)</f>
        <v>100000</v>
      </c>
    </row>
    <row r="7" spans="1:6" x14ac:dyDescent="0.25">
      <c r="A7" t="s">
        <v>8</v>
      </c>
      <c r="B7" s="15">
        <f>SUM(B2:B6)</f>
        <v>541000</v>
      </c>
      <c r="C7" s="15">
        <f t="shared" ref="C7:D7" si="0">SUM(C2:C6)</f>
        <v>654000</v>
      </c>
      <c r="D7" s="15">
        <f t="shared" si="0"/>
        <v>790000</v>
      </c>
      <c r="E7" s="15">
        <f>SUM(E2:E6)</f>
        <v>1985000</v>
      </c>
      <c r="F7">
        <f>B7+C7+D7</f>
        <v>1985000</v>
      </c>
    </row>
    <row r="9" spans="1:6" x14ac:dyDescent="0.25">
      <c r="A9" t="s">
        <v>187</v>
      </c>
    </row>
    <row r="10" spans="1:6" x14ac:dyDescent="0.25">
      <c r="A10">
        <f>0.1*900000</f>
        <v>90000</v>
      </c>
    </row>
    <row r="11" spans="1:6" x14ac:dyDescent="0.25">
      <c r="A11">
        <f>0.8*500000</f>
        <v>400000</v>
      </c>
      <c r="B11" t="s">
        <v>188</v>
      </c>
    </row>
    <row r="12" spans="1:6" x14ac:dyDescent="0.25">
      <c r="A12" s="15">
        <f>SUM(A10:A11)</f>
        <v>490000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zoomScale="196" zoomScaleNormal="196" zoomScalePageLayoutView="196" workbookViewId="0">
      <selection activeCell="B36" sqref="A36:XFD36"/>
    </sheetView>
  </sheetViews>
  <sheetFormatPr defaultColWidth="8.85546875" defaultRowHeight="15" x14ac:dyDescent="0.25"/>
  <cols>
    <col min="1" max="1" width="18.7109375" bestFit="1" customWidth="1"/>
  </cols>
  <sheetData>
    <row r="1" spans="1:7" x14ac:dyDescent="0.2">
      <c r="B1">
        <v>1</v>
      </c>
      <c r="C1">
        <v>2</v>
      </c>
      <c r="D1">
        <v>3</v>
      </c>
      <c r="E1">
        <v>4</v>
      </c>
      <c r="F1" t="s">
        <v>8</v>
      </c>
    </row>
    <row r="2" spans="1:7" x14ac:dyDescent="0.2">
      <c r="A2" t="s">
        <v>7</v>
      </c>
      <c r="B2">
        <f>input!B3*input!$B$4</f>
        <v>200000</v>
      </c>
      <c r="C2">
        <f>input!C3*input!$B$4</f>
        <v>600000</v>
      </c>
      <c r="D2">
        <f>input!D3*input!$B$4</f>
        <v>800000</v>
      </c>
      <c r="E2">
        <f>input!E3*input!$B$4</f>
        <v>400000</v>
      </c>
      <c r="F2">
        <f>SUM(B2:E2)</f>
        <v>2000000</v>
      </c>
      <c r="G2" t="s">
        <v>9</v>
      </c>
    </row>
    <row r="4" spans="1:7" x14ac:dyDescent="0.2">
      <c r="A4" t="s">
        <v>11</v>
      </c>
    </row>
    <row r="5" spans="1:7" x14ac:dyDescent="0.2">
      <c r="A5" t="s">
        <v>12</v>
      </c>
      <c r="B5">
        <f>input!B7</f>
        <v>90000</v>
      </c>
    </row>
    <row r="6" spans="1:7" x14ac:dyDescent="0.2">
      <c r="A6" t="s">
        <v>13</v>
      </c>
      <c r="B6">
        <f>input!B5*'sales and collections'!B2</f>
        <v>140000</v>
      </c>
      <c r="C6">
        <f>input!B6*'sales and collections'!B2</f>
        <v>60000</v>
      </c>
    </row>
    <row r="7" spans="1:7" x14ac:dyDescent="0.2">
      <c r="A7" t="s">
        <v>14</v>
      </c>
      <c r="C7">
        <f>input!B5*'sales and collections'!C2</f>
        <v>420000</v>
      </c>
      <c r="D7">
        <f>input!B6*'sales and collections'!C2</f>
        <v>180000</v>
      </c>
    </row>
    <row r="8" spans="1:7" x14ac:dyDescent="0.2">
      <c r="A8" t="s">
        <v>15</v>
      </c>
      <c r="D8">
        <f>input!B5*'sales and collections'!D2</f>
        <v>560000</v>
      </c>
      <c r="E8">
        <f>input!B6*'sales and collections'!D2</f>
        <v>240000</v>
      </c>
    </row>
    <row r="9" spans="1:7" x14ac:dyDescent="0.2">
      <c r="A9" t="s">
        <v>16</v>
      </c>
      <c r="E9">
        <f>input!B5*'sales and collections'!E2</f>
        <v>280000</v>
      </c>
    </row>
    <row r="10" spans="1:7" x14ac:dyDescent="0.2">
      <c r="B10">
        <f>SUM(B5:B9)</f>
        <v>230000</v>
      </c>
      <c r="C10">
        <f>SUM(C6:C9)</f>
        <v>480000</v>
      </c>
      <c r="D10">
        <f>SUM(D6:D9)</f>
        <v>740000</v>
      </c>
      <c r="E10">
        <f>SUM(E6:E9)</f>
        <v>520000</v>
      </c>
      <c r="F10">
        <f>SUM(B10:E10)</f>
        <v>1970000</v>
      </c>
      <c r="G10" t="s">
        <v>17</v>
      </c>
    </row>
    <row r="12" spans="1:7" x14ac:dyDescent="0.2">
      <c r="E12">
        <f>input!B6*'sales and collections'!E2</f>
        <v>120000</v>
      </c>
      <c r="F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48" zoomScaleNormal="148" zoomScalePageLayoutView="148" workbookViewId="0">
      <selection activeCell="B36" sqref="A36:XFD36"/>
    </sheetView>
  </sheetViews>
  <sheetFormatPr defaultColWidth="8.85546875" defaultRowHeight="15" x14ac:dyDescent="0.25"/>
  <cols>
    <col min="1" max="1" width="39.42578125" bestFit="1" customWidth="1"/>
    <col min="6" max="6" width="9.42578125" bestFit="1" customWidth="1"/>
  </cols>
  <sheetData>
    <row r="1" spans="1:7" x14ac:dyDescent="0.2">
      <c r="B1">
        <v>1</v>
      </c>
      <c r="C1">
        <v>2</v>
      </c>
      <c r="D1">
        <v>3</v>
      </c>
      <c r="E1">
        <v>4</v>
      </c>
      <c r="F1" t="s">
        <v>8</v>
      </c>
    </row>
    <row r="2" spans="1:7" x14ac:dyDescent="0.2">
      <c r="A2" t="s">
        <v>46</v>
      </c>
      <c r="B2" s="3">
        <f>'production budget'!B6</f>
        <v>14000</v>
      </c>
      <c r="C2" s="3">
        <f>'production budget'!C6</f>
        <v>32000</v>
      </c>
      <c r="D2" s="3">
        <f>'production budget'!D6</f>
        <v>36000</v>
      </c>
      <c r="E2" s="3">
        <f>'production budget'!E6</f>
        <v>19000</v>
      </c>
      <c r="F2" s="3">
        <f>SUM(B2:E2)</f>
        <v>101000</v>
      </c>
    </row>
    <row r="3" spans="1:7" x14ac:dyDescent="0.2">
      <c r="A3" s="7" t="s">
        <v>47</v>
      </c>
      <c r="B3">
        <f>input!$B$15*'direct material and disbursemen'!B2</f>
        <v>210000</v>
      </c>
      <c r="C3">
        <f>input!$B$15*'direct material and disbursemen'!C2</f>
        <v>480000</v>
      </c>
      <c r="D3">
        <f>input!$B$15*'direct material and disbursemen'!D2</f>
        <v>540000</v>
      </c>
      <c r="E3">
        <f>input!$B$15*'direct material and disbursemen'!E2</f>
        <v>285000</v>
      </c>
      <c r="F3">
        <f>SUM(B3:E3)</f>
        <v>1515000</v>
      </c>
    </row>
    <row r="4" spans="1:7" x14ac:dyDescent="0.2">
      <c r="A4" t="s">
        <v>48</v>
      </c>
      <c r="B4">
        <f>input!$B$16*'direct material and disbursemen'!C3</f>
        <v>48000</v>
      </c>
      <c r="C4">
        <f>input!$B$16*'direct material and disbursemen'!D3</f>
        <v>54000</v>
      </c>
      <c r="D4">
        <f>input!$B$16*'direct material and disbursemen'!E3</f>
        <v>28500</v>
      </c>
      <c r="E4" s="3">
        <f>input!B22</f>
        <v>22500</v>
      </c>
      <c r="F4" t="s">
        <v>49</v>
      </c>
      <c r="G4" t="s">
        <v>25</v>
      </c>
    </row>
    <row r="5" spans="1:7" x14ac:dyDescent="0.2">
      <c r="A5" t="s">
        <v>50</v>
      </c>
      <c r="B5">
        <f>SUM(B3:B4)</f>
        <v>258000</v>
      </c>
      <c r="C5">
        <f t="shared" ref="C5:E5" si="0">SUM(C3:C4)</f>
        <v>534000</v>
      </c>
      <c r="D5">
        <f t="shared" si="0"/>
        <v>568500</v>
      </c>
      <c r="E5">
        <f t="shared" si="0"/>
        <v>307500</v>
      </c>
      <c r="F5" s="3">
        <f>F3+E4</f>
        <v>1537500</v>
      </c>
    </row>
    <row r="6" spans="1:7" x14ac:dyDescent="0.2">
      <c r="A6" t="s">
        <v>51</v>
      </c>
      <c r="B6" s="3">
        <f>input!B17</f>
        <v>21000</v>
      </c>
      <c r="C6">
        <f>B4</f>
        <v>48000</v>
      </c>
      <c r="D6">
        <f>C4</f>
        <v>54000</v>
      </c>
      <c r="E6">
        <f>D4</f>
        <v>28500</v>
      </c>
      <c r="F6" s="3">
        <f>B6</f>
        <v>21000</v>
      </c>
    </row>
    <row r="7" spans="1:7" x14ac:dyDescent="0.2">
      <c r="A7" t="s">
        <v>52</v>
      </c>
      <c r="B7" s="3">
        <f>B5-B6</f>
        <v>237000</v>
      </c>
      <c r="C7" s="3">
        <f t="shared" ref="C7:F7" si="1">C5-C6</f>
        <v>486000</v>
      </c>
      <c r="D7" s="3">
        <f t="shared" si="1"/>
        <v>514500</v>
      </c>
      <c r="E7" s="3">
        <f t="shared" si="1"/>
        <v>279000</v>
      </c>
      <c r="F7" s="3">
        <f t="shared" si="1"/>
        <v>1516500</v>
      </c>
    </row>
    <row r="8" spans="1:7" x14ac:dyDescent="0.2">
      <c r="A8" s="4" t="s">
        <v>53</v>
      </c>
      <c r="B8" s="4">
        <f>input!$B$18*'direct material and disbursemen'!B7</f>
        <v>47400</v>
      </c>
      <c r="C8" s="4">
        <f>input!$B$18*'direct material and disbursemen'!C7</f>
        <v>97200</v>
      </c>
      <c r="D8" s="4">
        <f>input!$B$18*'direct material and disbursemen'!D7</f>
        <v>102900</v>
      </c>
      <c r="E8" s="4">
        <f>input!$B$18*'direct material and disbursemen'!E7</f>
        <v>55800</v>
      </c>
      <c r="F8" s="4">
        <f>SUM(B8:E8)</f>
        <v>303300</v>
      </c>
    </row>
    <row r="9" spans="1:7" x14ac:dyDescent="0.2">
      <c r="A9" s="7" t="s">
        <v>54</v>
      </c>
      <c r="B9" s="7">
        <f>input!$B$18*'direct material and disbursemen'!B3</f>
        <v>42000</v>
      </c>
      <c r="C9" s="7">
        <f>input!$B$18*'direct material and disbursemen'!C3</f>
        <v>96000</v>
      </c>
      <c r="D9" s="7">
        <f>input!$B$18*'direct material and disbursemen'!D3</f>
        <v>108000</v>
      </c>
      <c r="E9" s="7">
        <f>input!$B$18*'direct material and disbursemen'!E3</f>
        <v>57000</v>
      </c>
      <c r="F9" s="7">
        <f>SUM(B9:E9)</f>
        <v>303000</v>
      </c>
      <c r="G9" t="s">
        <v>62</v>
      </c>
    </row>
    <row r="11" spans="1:7" x14ac:dyDescent="0.2">
      <c r="A11" t="s">
        <v>55</v>
      </c>
    </row>
    <row r="12" spans="1:7" x14ac:dyDescent="0.2">
      <c r="A12" t="s">
        <v>43</v>
      </c>
      <c r="B12" s="3">
        <f>input!B21</f>
        <v>25800</v>
      </c>
    </row>
    <row r="13" spans="1:7" x14ac:dyDescent="0.2">
      <c r="A13" t="s">
        <v>56</v>
      </c>
      <c r="B13">
        <f>input!B19*'direct material and disbursemen'!B8</f>
        <v>23700</v>
      </c>
      <c r="C13">
        <f>input!B20*'direct material and disbursemen'!B8</f>
        <v>23700</v>
      </c>
    </row>
    <row r="14" spans="1:7" x14ac:dyDescent="0.2">
      <c r="A14" t="s">
        <v>57</v>
      </c>
      <c r="C14">
        <f>input!B19*'direct material and disbursemen'!C8</f>
        <v>48600</v>
      </c>
      <c r="D14">
        <f>input!B20*'direct material and disbursemen'!C8</f>
        <v>48600</v>
      </c>
    </row>
    <row r="15" spans="1:7" x14ac:dyDescent="0.2">
      <c r="A15" t="s">
        <v>58</v>
      </c>
      <c r="D15">
        <f>input!B19*'direct material and disbursemen'!D8</f>
        <v>51450</v>
      </c>
      <c r="E15">
        <f>input!B20*'direct material and disbursemen'!D8</f>
        <v>51450</v>
      </c>
    </row>
    <row r="16" spans="1:7" x14ac:dyDescent="0.2">
      <c r="A16" t="s">
        <v>59</v>
      </c>
      <c r="E16">
        <f>input!B19*'direct material and disbursemen'!E8</f>
        <v>27900</v>
      </c>
      <c r="F16">
        <v>27900</v>
      </c>
      <c r="G16" t="s">
        <v>61</v>
      </c>
    </row>
    <row r="17" spans="1:6" x14ac:dyDescent="0.2">
      <c r="A17" t="s">
        <v>60</v>
      </c>
      <c r="B17" s="3">
        <f>SUM(B12:B16)</f>
        <v>49500</v>
      </c>
      <c r="C17" s="3">
        <f t="shared" ref="C17:E17" si="2">SUM(C12:C16)</f>
        <v>72300</v>
      </c>
      <c r="D17" s="3">
        <f t="shared" si="2"/>
        <v>100050</v>
      </c>
      <c r="E17" s="3">
        <f t="shared" si="2"/>
        <v>79350</v>
      </c>
      <c r="F1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54" zoomScaleNormal="154" zoomScalePageLayoutView="154" workbookViewId="0">
      <selection activeCell="B6" sqref="B6"/>
    </sheetView>
  </sheetViews>
  <sheetFormatPr defaultColWidth="8.85546875" defaultRowHeight="15" x14ac:dyDescent="0.25"/>
  <cols>
    <col min="1" max="1" width="27.42578125" bestFit="1" customWidth="1"/>
    <col min="6" max="6" width="12.42578125" bestFit="1" customWidth="1"/>
  </cols>
  <sheetData>
    <row r="1" spans="1:6" x14ac:dyDescent="0.2">
      <c r="B1">
        <v>1</v>
      </c>
      <c r="C1">
        <v>2</v>
      </c>
      <c r="D1">
        <v>3</v>
      </c>
      <c r="E1">
        <v>4</v>
      </c>
      <c r="F1" t="s">
        <v>8</v>
      </c>
    </row>
    <row r="2" spans="1:6" x14ac:dyDescent="0.2">
      <c r="A2" t="s">
        <v>28</v>
      </c>
      <c r="B2">
        <f>input!B3</f>
        <v>10000</v>
      </c>
      <c r="C2">
        <f>input!C3</f>
        <v>30000</v>
      </c>
      <c r="D2">
        <f>input!D3</f>
        <v>40000</v>
      </c>
      <c r="E2">
        <f>input!E3</f>
        <v>20000</v>
      </c>
      <c r="F2" s="4">
        <f>SUM(B2:E2)</f>
        <v>100000</v>
      </c>
    </row>
    <row r="3" spans="1:6" x14ac:dyDescent="0.2">
      <c r="A3" t="s">
        <v>29</v>
      </c>
      <c r="B3">
        <f>input!$B$10*'production budget'!C2</f>
        <v>6000</v>
      </c>
      <c r="C3">
        <f>input!$B$10*'production budget'!D2</f>
        <v>8000</v>
      </c>
      <c r="D3">
        <f>input!$B$10*'production budget'!E2</f>
        <v>4000</v>
      </c>
      <c r="E3" s="5">
        <f>input!B12</f>
        <v>3000</v>
      </c>
      <c r="F3" t="s">
        <v>30</v>
      </c>
    </row>
    <row r="4" spans="1:6" x14ac:dyDescent="0.2">
      <c r="A4" t="s">
        <v>31</v>
      </c>
      <c r="B4">
        <f>SUM(B2:B3)</f>
        <v>16000</v>
      </c>
      <c r="C4">
        <f t="shared" ref="C4:E4" si="0">SUM(C2:C3)</f>
        <v>38000</v>
      </c>
      <c r="D4">
        <f t="shared" si="0"/>
        <v>44000</v>
      </c>
      <c r="E4">
        <f t="shared" si="0"/>
        <v>23000</v>
      </c>
      <c r="F4" s="3">
        <f>F2+E3</f>
        <v>103000</v>
      </c>
    </row>
    <row r="5" spans="1:6" x14ac:dyDescent="0.2">
      <c r="A5" t="s">
        <v>32</v>
      </c>
      <c r="B5" s="3">
        <f>input!B11</f>
        <v>2000</v>
      </c>
      <c r="C5">
        <f>B3</f>
        <v>6000</v>
      </c>
      <c r="D5">
        <f>C3</f>
        <v>8000</v>
      </c>
      <c r="E5">
        <f>D3</f>
        <v>4000</v>
      </c>
      <c r="F5" s="5">
        <f>B5</f>
        <v>2000</v>
      </c>
    </row>
    <row r="6" spans="1:6" x14ac:dyDescent="0.2">
      <c r="A6" t="s">
        <v>33</v>
      </c>
      <c r="B6" s="3">
        <f>B4-B5</f>
        <v>14000</v>
      </c>
      <c r="C6" s="3">
        <f t="shared" ref="C6:E6" si="1">C4-C5</f>
        <v>32000</v>
      </c>
      <c r="D6" s="3">
        <f t="shared" si="1"/>
        <v>36000</v>
      </c>
      <c r="E6" s="3">
        <f t="shared" si="1"/>
        <v>19000</v>
      </c>
      <c r="F6" s="6">
        <f>SUM(B6:E6)</f>
        <v>101000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36" sqref="A36:XFD36"/>
    </sheetView>
  </sheetViews>
  <sheetFormatPr defaultColWidth="8.85546875" defaultRowHeight="15" x14ac:dyDescent="0.25"/>
  <cols>
    <col min="1" max="1" width="30.28515625" bestFit="1" customWidth="1"/>
  </cols>
  <sheetData>
    <row r="1" spans="1:7" x14ac:dyDescent="0.2">
      <c r="B1">
        <v>1</v>
      </c>
      <c r="C1">
        <v>2</v>
      </c>
      <c r="D1">
        <v>3</v>
      </c>
      <c r="E1">
        <v>4</v>
      </c>
      <c r="F1" t="s">
        <v>67</v>
      </c>
    </row>
    <row r="2" spans="1:7" x14ac:dyDescent="0.2">
      <c r="A2" t="s">
        <v>46</v>
      </c>
      <c r="B2" s="3">
        <f>'production budget'!B6</f>
        <v>14000</v>
      </c>
      <c r="C2" s="3">
        <f>'production budget'!C6</f>
        <v>32000</v>
      </c>
      <c r="D2" s="3">
        <f>'production budget'!D6</f>
        <v>36000</v>
      </c>
      <c r="E2" s="3">
        <f>'production budget'!E6</f>
        <v>19000</v>
      </c>
    </row>
    <row r="3" spans="1:7" x14ac:dyDescent="0.2">
      <c r="A3" t="s">
        <v>68</v>
      </c>
      <c r="B3">
        <f>input!$B$25*'direct labour'!B2</f>
        <v>5600</v>
      </c>
      <c r="C3">
        <f>input!$B$25*'direct labour'!C2</f>
        <v>12800</v>
      </c>
      <c r="D3">
        <f>input!$B$25*'direct labour'!D2</f>
        <v>14400</v>
      </c>
      <c r="E3">
        <f>input!$B$25*'direct labour'!E2</f>
        <v>7600</v>
      </c>
      <c r="F3">
        <f>SUM(B3:E3)</f>
        <v>40400</v>
      </c>
    </row>
    <row r="4" spans="1:7" x14ac:dyDescent="0.2">
      <c r="A4" t="s">
        <v>69</v>
      </c>
      <c r="B4">
        <f>input!$B$26*'direct labour'!B3</f>
        <v>84000</v>
      </c>
      <c r="C4">
        <f>input!$B$26*'direct labour'!C3</f>
        <v>192000</v>
      </c>
      <c r="D4">
        <f>input!$B$26*'direct labour'!D3</f>
        <v>216000</v>
      </c>
      <c r="E4">
        <f>input!$B$26*'direct labour'!E3</f>
        <v>114000</v>
      </c>
      <c r="F4" s="7">
        <f>SUM(B4:E4)</f>
        <v>606000</v>
      </c>
      <c r="G4" t="s">
        <v>71</v>
      </c>
    </row>
    <row r="5" spans="1:7" x14ac:dyDescent="0.2">
      <c r="B5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36" sqref="A36:XFD36"/>
    </sheetView>
  </sheetViews>
  <sheetFormatPr defaultColWidth="8.85546875" defaultRowHeight="15" x14ac:dyDescent="0.25"/>
  <cols>
    <col min="1" max="1" width="18.7109375" bestFit="1" customWidth="1"/>
  </cols>
  <sheetData>
    <row r="1" spans="1:7" x14ac:dyDescent="0.2">
      <c r="B1">
        <v>1</v>
      </c>
      <c r="C1">
        <v>2</v>
      </c>
      <c r="D1">
        <v>3</v>
      </c>
      <c r="E1">
        <v>4</v>
      </c>
      <c r="F1" t="s">
        <v>67</v>
      </c>
    </row>
    <row r="2" spans="1:7" x14ac:dyDescent="0.2">
      <c r="A2" t="s">
        <v>77</v>
      </c>
      <c r="B2">
        <f>'direct labour'!B3</f>
        <v>5600</v>
      </c>
      <c r="C2">
        <f>'direct labour'!C3</f>
        <v>12800</v>
      </c>
      <c r="D2">
        <f>'direct labour'!D3</f>
        <v>14400</v>
      </c>
      <c r="E2">
        <f>'direct labour'!E3</f>
        <v>7600</v>
      </c>
      <c r="F2">
        <f t="shared" ref="F2:F7" si="0">SUM(B2:E2)</f>
        <v>40400</v>
      </c>
    </row>
    <row r="3" spans="1:7" x14ac:dyDescent="0.2">
      <c r="A3" t="s">
        <v>78</v>
      </c>
      <c r="B3">
        <f>input!$B$29*OH!B2</f>
        <v>22400</v>
      </c>
      <c r="C3">
        <f>input!$B$29*OH!C2</f>
        <v>51200</v>
      </c>
      <c r="D3">
        <f>input!$B$29*OH!D2</f>
        <v>57600</v>
      </c>
      <c r="E3">
        <f>input!$B$29*OH!E2</f>
        <v>30400</v>
      </c>
      <c r="F3">
        <f t="shared" si="0"/>
        <v>161600</v>
      </c>
      <c r="G3">
        <f>F3/F2</f>
        <v>4</v>
      </c>
    </row>
    <row r="4" spans="1:7" x14ac:dyDescent="0.2">
      <c r="A4" t="s">
        <v>75</v>
      </c>
      <c r="B4" s="3">
        <f>input!$B$30</f>
        <v>60600</v>
      </c>
      <c r="C4" s="3">
        <f>input!$B$30</f>
        <v>60600</v>
      </c>
      <c r="D4" s="3">
        <f>input!$B$30</f>
        <v>60600</v>
      </c>
      <c r="E4" s="3">
        <f>input!$B$30</f>
        <v>60600</v>
      </c>
      <c r="F4" s="3">
        <f t="shared" si="0"/>
        <v>242400</v>
      </c>
    </row>
    <row r="5" spans="1:7" x14ac:dyDescent="0.2">
      <c r="A5" t="s">
        <v>79</v>
      </c>
      <c r="B5">
        <f>SUM(B3:B4)</f>
        <v>83000</v>
      </c>
      <c r="C5">
        <f t="shared" ref="C5:E5" si="1">SUM(C3:C4)</f>
        <v>111800</v>
      </c>
      <c r="D5">
        <f t="shared" si="1"/>
        <v>118200</v>
      </c>
      <c r="E5">
        <f t="shared" si="1"/>
        <v>91000</v>
      </c>
      <c r="F5" s="7">
        <f t="shared" si="0"/>
        <v>404000</v>
      </c>
      <c r="G5" t="s">
        <v>82</v>
      </c>
    </row>
    <row r="6" spans="1:7" x14ac:dyDescent="0.2">
      <c r="A6" t="s">
        <v>80</v>
      </c>
      <c r="B6">
        <f>input!$B$31</f>
        <v>15000</v>
      </c>
      <c r="C6">
        <f>input!$B$31</f>
        <v>15000</v>
      </c>
      <c r="D6">
        <f>input!$B$31</f>
        <v>15000</v>
      </c>
      <c r="E6">
        <f>input!$B$31</f>
        <v>15000</v>
      </c>
      <c r="F6">
        <f t="shared" si="0"/>
        <v>60000</v>
      </c>
    </row>
    <row r="7" spans="1:7" x14ac:dyDescent="0.2">
      <c r="A7" s="7" t="s">
        <v>81</v>
      </c>
      <c r="B7">
        <f>B5-B6</f>
        <v>68000</v>
      </c>
      <c r="C7">
        <f t="shared" ref="C7:E7" si="2">C5-C6</f>
        <v>96800</v>
      </c>
      <c r="D7">
        <f t="shared" si="2"/>
        <v>103200</v>
      </c>
      <c r="E7">
        <f t="shared" si="2"/>
        <v>76000</v>
      </c>
      <c r="F7">
        <f t="shared" si="0"/>
        <v>344000</v>
      </c>
    </row>
    <row r="9" spans="1:7" x14ac:dyDescent="0.2">
      <c r="A9">
        <f>F5/F2</f>
        <v>10</v>
      </c>
      <c r="B9" t="s">
        <v>45</v>
      </c>
      <c r="C9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zoomScale="160" zoomScaleNormal="160" zoomScalePageLayoutView="160" workbookViewId="0">
      <selection activeCell="B36" sqref="A36:XFD36"/>
    </sheetView>
  </sheetViews>
  <sheetFormatPr defaultColWidth="8.85546875" defaultRowHeight="15" x14ac:dyDescent="0.25"/>
  <cols>
    <col min="1" max="1" width="16" bestFit="1" customWidth="1"/>
  </cols>
  <sheetData>
    <row r="2" spans="1:6" x14ac:dyDescent="0.2">
      <c r="A2" t="s">
        <v>84</v>
      </c>
      <c r="B2" t="s">
        <v>85</v>
      </c>
      <c r="C2" t="s">
        <v>86</v>
      </c>
      <c r="D2" t="s">
        <v>60</v>
      </c>
    </row>
    <row r="3" spans="1:6" x14ac:dyDescent="0.2">
      <c r="A3" t="s">
        <v>87</v>
      </c>
      <c r="B3">
        <f>input!B15</f>
        <v>15</v>
      </c>
      <c r="C3">
        <f>input!B18</f>
        <v>0.2</v>
      </c>
      <c r="D3">
        <f>B3*C3</f>
        <v>3</v>
      </c>
    </row>
    <row r="4" spans="1:6" x14ac:dyDescent="0.2">
      <c r="A4" t="s">
        <v>88</v>
      </c>
      <c r="B4">
        <f>input!B25</f>
        <v>0.4</v>
      </c>
      <c r="C4">
        <f>input!B26</f>
        <v>15</v>
      </c>
      <c r="D4">
        <f>B4*C4</f>
        <v>6</v>
      </c>
    </row>
    <row r="5" spans="1:6" x14ac:dyDescent="0.2">
      <c r="A5" t="s">
        <v>89</v>
      </c>
      <c r="B5">
        <f>input!B25</f>
        <v>0.4</v>
      </c>
      <c r="C5">
        <f>OH!A9</f>
        <v>10</v>
      </c>
      <c r="D5">
        <f>B5*C5</f>
        <v>4</v>
      </c>
    </row>
    <row r="6" spans="1:6" x14ac:dyDescent="0.2">
      <c r="D6" s="7">
        <f>SUM(D3:D5)</f>
        <v>13</v>
      </c>
      <c r="E6" t="s">
        <v>45</v>
      </c>
      <c r="F6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zoomScalePageLayoutView="160" workbookViewId="0">
      <selection activeCell="B36" sqref="A36:XFD36"/>
    </sheetView>
  </sheetViews>
  <sheetFormatPr defaultColWidth="8.85546875" defaultRowHeight="15" x14ac:dyDescent="0.25"/>
  <cols>
    <col min="1" max="1" width="17" bestFit="1" customWidth="1"/>
  </cols>
  <sheetData>
    <row r="1" spans="1:7" x14ac:dyDescent="0.2">
      <c r="B1">
        <v>1</v>
      </c>
      <c r="C1">
        <v>2</v>
      </c>
      <c r="D1">
        <v>3</v>
      </c>
      <c r="E1">
        <v>4</v>
      </c>
      <c r="F1" t="s">
        <v>8</v>
      </c>
    </row>
    <row r="2" spans="1:7" x14ac:dyDescent="0.2">
      <c r="A2" t="s">
        <v>28</v>
      </c>
      <c r="B2">
        <f>input!B3</f>
        <v>10000</v>
      </c>
      <c r="C2">
        <f>input!C3</f>
        <v>30000</v>
      </c>
      <c r="D2">
        <f>input!D3</f>
        <v>40000</v>
      </c>
      <c r="E2">
        <f>input!E3</f>
        <v>20000</v>
      </c>
      <c r="F2">
        <f t="shared" ref="F2:F8" si="0">SUM(B2:E2)</f>
        <v>100000</v>
      </c>
    </row>
    <row r="3" spans="1:7" x14ac:dyDescent="0.2">
      <c r="A3" t="s">
        <v>96</v>
      </c>
      <c r="B3">
        <f>input!$B$34*'period costs budget'!B2</f>
        <v>18000</v>
      </c>
      <c r="C3">
        <f>input!$B$34*'period costs budget'!C2</f>
        <v>54000</v>
      </c>
      <c r="D3">
        <f>input!$B$34*'period costs budget'!D2</f>
        <v>72000</v>
      </c>
      <c r="E3">
        <f>input!$B$34*'period costs budget'!E2</f>
        <v>36000</v>
      </c>
      <c r="F3">
        <f t="shared" si="0"/>
        <v>180000</v>
      </c>
    </row>
    <row r="4" spans="1:7" x14ac:dyDescent="0.2">
      <c r="A4" t="s">
        <v>97</v>
      </c>
      <c r="B4">
        <f>input!$B$35</f>
        <v>20000</v>
      </c>
      <c r="C4">
        <f>input!$B$35</f>
        <v>20000</v>
      </c>
      <c r="D4">
        <f>input!$B$35</f>
        <v>20000</v>
      </c>
      <c r="E4">
        <f>input!$B$35</f>
        <v>20000</v>
      </c>
      <c r="F4">
        <f t="shared" si="0"/>
        <v>80000</v>
      </c>
    </row>
    <row r="5" spans="1:7" x14ac:dyDescent="0.2">
      <c r="A5" t="s">
        <v>98</v>
      </c>
      <c r="B5" s="3">
        <f>input!$B$36</f>
        <v>55000</v>
      </c>
      <c r="C5" s="3">
        <f>input!$B$36</f>
        <v>55000</v>
      </c>
      <c r="D5" s="3">
        <f>input!$B$36</f>
        <v>55000</v>
      </c>
      <c r="E5" s="3">
        <f>input!$B$36</f>
        <v>55000</v>
      </c>
      <c r="F5" s="3">
        <f t="shared" si="0"/>
        <v>220000</v>
      </c>
    </row>
    <row r="6" spans="1:7" x14ac:dyDescent="0.2">
      <c r="A6" t="s">
        <v>99</v>
      </c>
      <c r="B6" s="3">
        <f>input!$B$37</f>
        <v>10000</v>
      </c>
      <c r="C6" s="3">
        <f>input!$B$37</f>
        <v>10000</v>
      </c>
      <c r="D6" s="3">
        <f>input!$B$37</f>
        <v>10000</v>
      </c>
      <c r="E6" s="3">
        <f>input!$B$37</f>
        <v>10000</v>
      </c>
      <c r="F6" s="3">
        <f t="shared" si="0"/>
        <v>40000</v>
      </c>
    </row>
    <row r="7" spans="1:7" x14ac:dyDescent="0.2">
      <c r="A7" t="s">
        <v>100</v>
      </c>
      <c r="B7" s="3">
        <f>input!$B$38</f>
        <v>4000</v>
      </c>
      <c r="C7" s="3">
        <f>input!$B$38</f>
        <v>4000</v>
      </c>
      <c r="D7" s="3">
        <f>input!$B$38</f>
        <v>4000</v>
      </c>
      <c r="E7" s="3">
        <f>input!$B$38</f>
        <v>4000</v>
      </c>
      <c r="F7" s="3">
        <f t="shared" si="0"/>
        <v>16000</v>
      </c>
    </row>
    <row r="8" spans="1:7" x14ac:dyDescent="0.2">
      <c r="A8" t="s">
        <v>76</v>
      </c>
      <c r="B8" s="3">
        <f>input!$B$39</f>
        <v>10000</v>
      </c>
      <c r="C8" s="3">
        <f>input!$B$39</f>
        <v>10000</v>
      </c>
      <c r="D8" s="3">
        <f>input!$B$39</f>
        <v>10000</v>
      </c>
      <c r="E8" s="3">
        <f>input!$B$39</f>
        <v>10000</v>
      </c>
      <c r="F8" s="3">
        <f t="shared" si="0"/>
        <v>40000</v>
      </c>
    </row>
    <row r="9" spans="1:7" x14ac:dyDescent="0.2">
      <c r="A9" t="s">
        <v>60</v>
      </c>
      <c r="B9">
        <f>SUM(B3:B8)</f>
        <v>117000</v>
      </c>
      <c r="C9">
        <f t="shared" ref="C9:E9" si="1">SUM(C3:C8)</f>
        <v>153000</v>
      </c>
      <c r="D9">
        <f t="shared" si="1"/>
        <v>171000</v>
      </c>
      <c r="E9">
        <f t="shared" si="1"/>
        <v>135000</v>
      </c>
      <c r="F9" s="3">
        <f>SUM(F3:F8)</f>
        <v>576000</v>
      </c>
      <c r="G9" t="s">
        <v>103</v>
      </c>
    </row>
    <row r="10" spans="1:7" x14ac:dyDescent="0.2">
      <c r="A10" t="s">
        <v>102</v>
      </c>
      <c r="B10" s="3">
        <f>B9-B8</f>
        <v>107000</v>
      </c>
      <c r="C10" s="3">
        <f t="shared" ref="C10:E10" si="2">C9-C8</f>
        <v>143000</v>
      </c>
      <c r="D10" s="3">
        <f t="shared" si="2"/>
        <v>161000</v>
      </c>
      <c r="E10" s="3">
        <f t="shared" si="2"/>
        <v>125000</v>
      </c>
      <c r="F10" s="3">
        <f>SUM(B10:E10)</f>
        <v>536000</v>
      </c>
      <c r="G10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6"/>
  <sheetViews>
    <sheetView topLeftCell="J14" zoomScale="184" zoomScaleNormal="184" zoomScalePageLayoutView="184" workbookViewId="0">
      <selection activeCell="A38" sqref="A38"/>
    </sheetView>
  </sheetViews>
  <sheetFormatPr defaultColWidth="8.85546875" defaultRowHeight="15" x14ac:dyDescent="0.25"/>
  <cols>
    <col min="1" max="1" width="34.42578125" bestFit="1" customWidth="1"/>
    <col min="6" max="6" width="9.42578125" bestFit="1" customWidth="1"/>
  </cols>
  <sheetData>
    <row r="6" spans="1:7" x14ac:dyDescent="0.2">
      <c r="B6">
        <v>1</v>
      </c>
      <c r="C6">
        <v>2</v>
      </c>
      <c r="D6">
        <v>3</v>
      </c>
      <c r="E6">
        <v>4</v>
      </c>
      <c r="F6" t="s">
        <v>8</v>
      </c>
    </row>
    <row r="7" spans="1:7" x14ac:dyDescent="0.2">
      <c r="A7" t="s">
        <v>107</v>
      </c>
      <c r="B7">
        <f>input!B42</f>
        <v>42500</v>
      </c>
      <c r="C7" s="3">
        <f>B26</f>
        <v>36000</v>
      </c>
      <c r="D7" s="3">
        <f>C26</f>
        <v>33900</v>
      </c>
      <c r="E7" s="3">
        <f>D26</f>
        <v>165650</v>
      </c>
      <c r="F7">
        <v>42500</v>
      </c>
    </row>
    <row r="8" spans="1:7" x14ac:dyDescent="0.2">
      <c r="A8" t="s">
        <v>111</v>
      </c>
      <c r="B8">
        <f>input!$B$43</f>
        <v>30000</v>
      </c>
      <c r="C8">
        <f>input!$B$43</f>
        <v>30000</v>
      </c>
      <c r="D8">
        <f>input!$B$43</f>
        <v>30000</v>
      </c>
      <c r="E8">
        <f>input!$B$43</f>
        <v>30000</v>
      </c>
      <c r="F8">
        <v>30000</v>
      </c>
    </row>
    <row r="9" spans="1:7" x14ac:dyDescent="0.2">
      <c r="A9" t="s">
        <v>112</v>
      </c>
      <c r="B9">
        <f>B7-B8</f>
        <v>12500</v>
      </c>
      <c r="C9">
        <f>C7-C8</f>
        <v>6000</v>
      </c>
      <c r="D9">
        <f>D7-D8</f>
        <v>3900</v>
      </c>
      <c r="E9">
        <f>E7-E8</f>
        <v>135650</v>
      </c>
      <c r="F9">
        <f>F7-F8</f>
        <v>12500</v>
      </c>
    </row>
    <row r="10" spans="1:7" x14ac:dyDescent="0.2">
      <c r="A10" t="s">
        <v>113</v>
      </c>
      <c r="B10">
        <f>'sales and collections'!B10</f>
        <v>230000</v>
      </c>
      <c r="C10">
        <f>'sales and collections'!C10</f>
        <v>480000</v>
      </c>
      <c r="D10">
        <f>'sales and collections'!D10</f>
        <v>740000</v>
      </c>
      <c r="E10" s="4">
        <f>'sales and collections'!E10</f>
        <v>520000</v>
      </c>
      <c r="F10">
        <f>SUM(B10:E10)</f>
        <v>1970000</v>
      </c>
      <c r="G10" t="s">
        <v>128</v>
      </c>
    </row>
    <row r="11" spans="1:7" x14ac:dyDescent="0.2">
      <c r="A11" t="s">
        <v>55</v>
      </c>
    </row>
    <row r="12" spans="1:7" x14ac:dyDescent="0.2">
      <c r="A12" t="s">
        <v>114</v>
      </c>
      <c r="B12" s="3">
        <f>'direct material and disbursemen'!B17</f>
        <v>49500</v>
      </c>
      <c r="C12" s="3">
        <f>'direct material and disbursemen'!C17</f>
        <v>72300</v>
      </c>
      <c r="D12" s="3">
        <f>'direct material and disbursemen'!D17</f>
        <v>100050</v>
      </c>
      <c r="E12" s="3">
        <f>'direct material and disbursemen'!E17</f>
        <v>79350</v>
      </c>
      <c r="F12" s="3">
        <f t="shared" ref="F12:F19" si="0">SUM(B12:E12)</f>
        <v>301200</v>
      </c>
    </row>
    <row r="13" spans="1:7" x14ac:dyDescent="0.2">
      <c r="A13" t="s">
        <v>115</v>
      </c>
      <c r="B13">
        <f>'direct labour'!B4</f>
        <v>84000</v>
      </c>
      <c r="C13">
        <f>'direct labour'!C4</f>
        <v>192000</v>
      </c>
      <c r="D13">
        <f>'direct labour'!D4</f>
        <v>216000</v>
      </c>
      <c r="E13">
        <f>'direct labour'!E4</f>
        <v>114000</v>
      </c>
      <c r="F13" s="3">
        <f t="shared" si="0"/>
        <v>606000</v>
      </c>
    </row>
    <row r="14" spans="1:7" x14ac:dyDescent="0.2">
      <c r="A14" t="s">
        <v>89</v>
      </c>
      <c r="B14">
        <f>OH!B7</f>
        <v>68000</v>
      </c>
      <c r="C14">
        <f>OH!C7</f>
        <v>96800</v>
      </c>
      <c r="D14">
        <f>OH!D7</f>
        <v>103200</v>
      </c>
      <c r="E14">
        <f>OH!E7</f>
        <v>76000</v>
      </c>
      <c r="F14" s="3">
        <f t="shared" si="0"/>
        <v>344000</v>
      </c>
    </row>
    <row r="15" spans="1:7" x14ac:dyDescent="0.2">
      <c r="A15" t="s">
        <v>93</v>
      </c>
      <c r="B15" s="3">
        <f>'period costs budget'!B10</f>
        <v>107000</v>
      </c>
      <c r="C15" s="3">
        <f>'period costs budget'!C10</f>
        <v>143000</v>
      </c>
      <c r="D15" s="3">
        <f>'period costs budget'!D10</f>
        <v>161000</v>
      </c>
      <c r="E15" s="3">
        <f>'period costs budget'!E10</f>
        <v>125000</v>
      </c>
      <c r="F15" s="3">
        <f t="shared" si="0"/>
        <v>536000</v>
      </c>
    </row>
    <row r="16" spans="1:7" x14ac:dyDescent="0.2">
      <c r="A16" t="s">
        <v>116</v>
      </c>
      <c r="B16">
        <f>input!B44</f>
        <v>50000</v>
      </c>
      <c r="C16">
        <f>input!C44</f>
        <v>40000</v>
      </c>
      <c r="D16">
        <f>input!D44</f>
        <v>20000</v>
      </c>
      <c r="E16">
        <f>input!E44</f>
        <v>20000</v>
      </c>
      <c r="F16" s="3">
        <f t="shared" si="0"/>
        <v>130000</v>
      </c>
    </row>
    <row r="17" spans="1:7" x14ac:dyDescent="0.2">
      <c r="A17" t="s">
        <v>117</v>
      </c>
      <c r="B17">
        <f>input!$B$45</f>
        <v>8000</v>
      </c>
      <c r="C17">
        <f>input!$B$45</f>
        <v>8000</v>
      </c>
      <c r="D17">
        <f>input!$B$45</f>
        <v>8000</v>
      </c>
      <c r="E17">
        <f>input!$B$45</f>
        <v>8000</v>
      </c>
      <c r="F17" s="3">
        <f t="shared" si="0"/>
        <v>32000</v>
      </c>
    </row>
    <row r="18" spans="1:7" x14ac:dyDescent="0.2">
      <c r="A18" t="s">
        <v>118</v>
      </c>
      <c r="B18" s="3">
        <f>SUM(B12:B17)</f>
        <v>366500</v>
      </c>
      <c r="C18" s="3">
        <f t="shared" ref="C18:E18" si="1">SUM(C12:C17)</f>
        <v>552100</v>
      </c>
      <c r="D18" s="3">
        <f t="shared" si="1"/>
        <v>608250</v>
      </c>
      <c r="E18" s="5">
        <f t="shared" si="1"/>
        <v>422350</v>
      </c>
      <c r="F18" s="3">
        <f t="shared" si="0"/>
        <v>1949200</v>
      </c>
    </row>
    <row r="19" spans="1:7" x14ac:dyDescent="0.2">
      <c r="A19" t="s">
        <v>119</v>
      </c>
      <c r="B19" s="3">
        <f>B10-B18</f>
        <v>-136500</v>
      </c>
      <c r="C19" s="3">
        <f t="shared" ref="C19:E19" si="2">C10-C18</f>
        <v>-72100</v>
      </c>
      <c r="D19" s="3">
        <f t="shared" si="2"/>
        <v>131750</v>
      </c>
      <c r="E19" s="3">
        <f t="shared" si="2"/>
        <v>97650</v>
      </c>
      <c r="F19" s="3">
        <f t="shared" si="0"/>
        <v>20800</v>
      </c>
    </row>
    <row r="20" spans="1:7" x14ac:dyDescent="0.2">
      <c r="A20" t="s">
        <v>120</v>
      </c>
      <c r="B20" s="3">
        <f>B9+B19</f>
        <v>-124000</v>
      </c>
      <c r="C20" s="3">
        <f>C9+C19</f>
        <v>-66100</v>
      </c>
      <c r="D20" s="3">
        <f>D9+D19</f>
        <v>135650</v>
      </c>
      <c r="E20" s="3">
        <f>E9+E19</f>
        <v>233300</v>
      </c>
      <c r="F20" s="3">
        <f>F9+F19</f>
        <v>33300</v>
      </c>
    </row>
    <row r="21" spans="1:7" x14ac:dyDescent="0.2">
      <c r="A21" t="s">
        <v>123</v>
      </c>
    </row>
    <row r="22" spans="1:7" x14ac:dyDescent="0.2">
      <c r="A22" t="s">
        <v>121</v>
      </c>
      <c r="B22">
        <v>130000</v>
      </c>
      <c r="C22">
        <v>70000</v>
      </c>
      <c r="F22">
        <f>SUM(B22:E22)</f>
        <v>200000</v>
      </c>
    </row>
    <row r="23" spans="1:7" x14ac:dyDescent="0.2">
      <c r="A23" t="s">
        <v>122</v>
      </c>
      <c r="E23">
        <v>-200000</v>
      </c>
      <c r="F23">
        <f>SUM(B23:E23)</f>
        <v>-200000</v>
      </c>
    </row>
    <row r="24" spans="1:7" x14ac:dyDescent="0.2">
      <c r="A24" t="s">
        <v>105</v>
      </c>
      <c r="E24">
        <f>-interests!A4</f>
        <v>-21900</v>
      </c>
      <c r="F24">
        <f>SUM(B24:E24)</f>
        <v>-21900</v>
      </c>
    </row>
    <row r="25" spans="1:7" x14ac:dyDescent="0.2">
      <c r="A25" t="s">
        <v>124</v>
      </c>
      <c r="B25">
        <f>B22+B23+B24</f>
        <v>130000</v>
      </c>
      <c r="C25">
        <f>C22+C23+C24</f>
        <v>70000</v>
      </c>
      <c r="E25">
        <f>D22+E23+E24</f>
        <v>-221900</v>
      </c>
      <c r="F25">
        <f>SUM(B25:E25)</f>
        <v>-21900</v>
      </c>
    </row>
    <row r="26" spans="1:7" x14ac:dyDescent="0.2">
      <c r="A26" t="s">
        <v>125</v>
      </c>
      <c r="B26" s="3">
        <f>B7+B19+B25</f>
        <v>36000</v>
      </c>
      <c r="C26" s="3">
        <f>C7+C19+C25</f>
        <v>33900</v>
      </c>
      <c r="D26" s="3">
        <f>D7+D19+D25</f>
        <v>165650</v>
      </c>
      <c r="E26" s="3">
        <f>E7+E19+E25</f>
        <v>41400</v>
      </c>
      <c r="F26" s="3">
        <f>E26</f>
        <v>41400</v>
      </c>
      <c r="G26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input</vt:lpstr>
      <vt:lpstr>sales and collections</vt:lpstr>
      <vt:lpstr>direct material and disbursemen</vt:lpstr>
      <vt:lpstr>production budget</vt:lpstr>
      <vt:lpstr>direct labour</vt:lpstr>
      <vt:lpstr>OH</vt:lpstr>
      <vt:lpstr>full cost of goods sold</vt:lpstr>
      <vt:lpstr>period costs budget</vt:lpstr>
      <vt:lpstr>cash budget</vt:lpstr>
      <vt:lpstr>income budget</vt:lpstr>
      <vt:lpstr>BS</vt:lpstr>
      <vt:lpstr>interests</vt:lpstr>
      <vt:lpstr>Review problem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liuc</cp:lastModifiedBy>
  <dcterms:created xsi:type="dcterms:W3CDTF">2015-03-13T08:08:07Z</dcterms:created>
  <dcterms:modified xsi:type="dcterms:W3CDTF">2017-03-29T10:53:03Z</dcterms:modified>
</cp:coreProperties>
</file>