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980" yWindow="2180" windowWidth="37380" windowHeight="24940" tabRatio="500" firstSheet="1" activeTab="1"/>
  </bookViews>
  <sheets>
    <sheet name="Template" sheetId="1" r:id="rId1"/>
    <sheet name="Template with Formulas" sheetId="2" r:id="rId2"/>
    <sheet name="Barclays" sheetId="4" r:id="rId3"/>
    <sheet name="L'Oreal" sheetId="5" r:id="rId4"/>
    <sheet name="Nestlé" sheetId="6" r:id="rId5"/>
    <sheet name="Siemens" sheetId="7" r:id="rId6"/>
    <sheet name="Vodafone" sheetId="8" r:id="rId7"/>
  </sheets>
  <definedNames>
    <definedName name="_xlnm.Print_Area" localSheetId="2">Barclays!$A$1:$N$57</definedName>
    <definedName name="_xlnm.Print_Area" localSheetId="3">'L''Oreal'!$A$1:$N$56</definedName>
    <definedName name="_xlnm.Print_Area" localSheetId="4">Nestlé!$A$1:$N$56</definedName>
    <definedName name="_xlnm.Print_Area" localSheetId="5">Siemens!$A$1:$N$56</definedName>
    <definedName name="_xlnm.Print_Area" localSheetId="0">Template!$A$1:$N$56</definedName>
    <definedName name="_xlnm.Print_Area" localSheetId="1">'Template with Formulas'!$A$1:$N$56</definedName>
    <definedName name="_xlnm.Print_Area" localSheetId="6">Vodafone!$A$1:$N$56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4" l="1"/>
  <c r="N31" i="4"/>
  <c r="N47" i="4"/>
  <c r="L47" i="4"/>
  <c r="E44" i="4"/>
  <c r="C44" i="4"/>
  <c r="N36" i="4"/>
  <c r="N27" i="4"/>
  <c r="V112" i="4"/>
  <c r="U112" i="4"/>
  <c r="T112" i="4"/>
  <c r="S112" i="4"/>
  <c r="R112" i="4"/>
  <c r="W67" i="4"/>
  <c r="W68" i="4"/>
  <c r="N17" i="4"/>
  <c r="W77" i="4"/>
  <c r="W78" i="4"/>
  <c r="N11" i="4"/>
  <c r="W76" i="4"/>
  <c r="W75" i="4"/>
  <c r="W74" i="4"/>
  <c r="W73" i="4"/>
  <c r="W72" i="4"/>
  <c r="W71" i="4"/>
  <c r="W66" i="4"/>
  <c r="W65" i="4"/>
  <c r="W64" i="4"/>
  <c r="W63" i="4"/>
  <c r="W62" i="4"/>
  <c r="W61" i="4"/>
  <c r="W89" i="4"/>
  <c r="W90" i="4"/>
  <c r="W91" i="4"/>
  <c r="W92" i="4"/>
  <c r="W93" i="4"/>
  <c r="W94" i="4"/>
  <c r="W95" i="4"/>
  <c r="W96" i="4"/>
  <c r="W97" i="4"/>
  <c r="W98" i="4"/>
  <c r="W99" i="4"/>
  <c r="W102" i="4"/>
  <c r="W103" i="4"/>
  <c r="W104" i="4"/>
  <c r="W105" i="4"/>
  <c r="W106" i="4"/>
  <c r="W107" i="4"/>
  <c r="W108" i="4"/>
  <c r="W109" i="4"/>
  <c r="W110" i="4"/>
  <c r="W111" i="4"/>
  <c r="W112" i="4"/>
  <c r="W124" i="4"/>
  <c r="W123" i="4"/>
  <c r="W122" i="4"/>
  <c r="W121" i="4"/>
  <c r="W120" i="4"/>
  <c r="W119" i="4"/>
  <c r="W118" i="4"/>
  <c r="W117" i="4"/>
  <c r="W116" i="4"/>
  <c r="W115" i="4"/>
  <c r="W114" i="4"/>
  <c r="V99" i="4"/>
  <c r="U99" i="4"/>
  <c r="T99" i="4"/>
  <c r="S99" i="4"/>
  <c r="R99" i="4"/>
  <c r="W87" i="4"/>
  <c r="W86" i="4"/>
  <c r="W85" i="4"/>
  <c r="W84" i="4"/>
  <c r="W83" i="4"/>
  <c r="W82" i="4"/>
  <c r="W81" i="4"/>
  <c r="W80" i="4"/>
  <c r="V78" i="4"/>
  <c r="U78" i="4"/>
  <c r="T78" i="4"/>
  <c r="S78" i="4"/>
  <c r="R78" i="4"/>
  <c r="V68" i="4"/>
  <c r="U68" i="4"/>
  <c r="T68" i="4"/>
  <c r="S68" i="4"/>
  <c r="R68" i="4"/>
  <c r="H112" i="4"/>
  <c r="H113" i="4"/>
  <c r="L36" i="4"/>
  <c r="H99" i="4"/>
  <c r="H100" i="4"/>
  <c r="L27" i="4"/>
  <c r="H125" i="4"/>
  <c r="H124" i="4"/>
  <c r="H123" i="4"/>
  <c r="H122" i="4"/>
  <c r="H121" i="4"/>
  <c r="H120" i="4"/>
  <c r="H119" i="4"/>
  <c r="H118" i="4"/>
  <c r="H117" i="4"/>
  <c r="H116" i="4"/>
  <c r="H115" i="4"/>
  <c r="H111" i="4"/>
  <c r="H110" i="4"/>
  <c r="H109" i="4"/>
  <c r="H108" i="4"/>
  <c r="H107" i="4"/>
  <c r="H106" i="4"/>
  <c r="H105" i="4"/>
  <c r="H104" i="4"/>
  <c r="H103" i="4"/>
  <c r="G113" i="4"/>
  <c r="F113" i="4"/>
  <c r="E113" i="4"/>
  <c r="D113" i="4"/>
  <c r="C113" i="4"/>
  <c r="H98" i="4"/>
  <c r="H97" i="4"/>
  <c r="H96" i="4"/>
  <c r="H95" i="4"/>
  <c r="H94" i="4"/>
  <c r="H93" i="4"/>
  <c r="H92" i="4"/>
  <c r="H91" i="4"/>
  <c r="H90" i="4"/>
  <c r="G100" i="4"/>
  <c r="F100" i="4"/>
  <c r="E100" i="4"/>
  <c r="D100" i="4"/>
  <c r="C100" i="4"/>
  <c r="L18" i="4"/>
  <c r="H68" i="4"/>
  <c r="H69" i="4"/>
  <c r="H78" i="4"/>
  <c r="H79" i="4"/>
  <c r="H88" i="4"/>
  <c r="H87" i="4"/>
  <c r="H86" i="4"/>
  <c r="H85" i="4"/>
  <c r="H84" i="4"/>
  <c r="H83" i="4"/>
  <c r="H82" i="4"/>
  <c r="H81" i="4"/>
  <c r="H72" i="4"/>
  <c r="H73" i="4"/>
  <c r="H74" i="4"/>
  <c r="H75" i="4"/>
  <c r="H76" i="4"/>
  <c r="H77" i="4"/>
  <c r="L11" i="4"/>
  <c r="H62" i="4"/>
  <c r="H63" i="4"/>
  <c r="H64" i="4"/>
  <c r="H65" i="4"/>
  <c r="H66" i="4"/>
  <c r="H67" i="4"/>
  <c r="L17" i="4"/>
  <c r="G79" i="4"/>
  <c r="F79" i="4"/>
  <c r="E79" i="4"/>
  <c r="D79" i="4"/>
  <c r="C79" i="4"/>
  <c r="G69" i="4"/>
  <c r="F69" i="4"/>
  <c r="E69" i="4"/>
  <c r="D69" i="4"/>
  <c r="C69" i="4"/>
  <c r="L16" i="4"/>
  <c r="G13" i="4"/>
  <c r="G18" i="4"/>
  <c r="S30" i="4"/>
  <c r="G9" i="4"/>
  <c r="R30" i="4"/>
  <c r="G6" i="4"/>
  <c r="T29" i="4"/>
  <c r="T28" i="4"/>
  <c r="T27" i="4"/>
  <c r="T26" i="4"/>
  <c r="T25" i="4"/>
  <c r="T24" i="4"/>
  <c r="T30" i="4"/>
  <c r="E18" i="4"/>
  <c r="E13" i="4"/>
  <c r="S20" i="4"/>
  <c r="E9" i="4"/>
  <c r="R20" i="4"/>
  <c r="E6" i="4"/>
  <c r="T20" i="4"/>
  <c r="T19" i="4"/>
  <c r="T18" i="4"/>
  <c r="T17" i="4"/>
  <c r="T16" i="4"/>
  <c r="T15" i="4"/>
  <c r="T14" i="4"/>
  <c r="C18" i="4"/>
  <c r="C13" i="4"/>
  <c r="S10" i="4"/>
  <c r="C9" i="4"/>
  <c r="R10" i="4"/>
  <c r="C6" i="4"/>
  <c r="T10" i="4"/>
  <c r="T9" i="4"/>
  <c r="T8" i="4"/>
  <c r="T7" i="4"/>
  <c r="T6" i="4"/>
  <c r="T5" i="4"/>
  <c r="T4" i="4"/>
  <c r="N47" i="8"/>
  <c r="L47" i="8"/>
  <c r="N49" i="8"/>
  <c r="L49" i="8"/>
  <c r="N16" i="8"/>
  <c r="N11" i="8"/>
  <c r="N9" i="8"/>
  <c r="L40" i="8"/>
  <c r="L16" i="8"/>
  <c r="L11" i="8"/>
  <c r="L9" i="8"/>
  <c r="G17" i="8"/>
  <c r="G13" i="8"/>
  <c r="E17" i="8"/>
  <c r="E15" i="8"/>
  <c r="E13" i="8"/>
  <c r="C17" i="8"/>
  <c r="C13" i="8"/>
  <c r="L48" i="7"/>
  <c r="N40" i="7"/>
  <c r="N31" i="7"/>
  <c r="N9" i="7"/>
  <c r="N16" i="7"/>
  <c r="L40" i="7"/>
  <c r="L31" i="7"/>
  <c r="L9" i="7"/>
  <c r="L16" i="7"/>
  <c r="G17" i="7"/>
  <c r="G15" i="7"/>
  <c r="E17" i="7"/>
  <c r="E15" i="7"/>
  <c r="C17" i="7"/>
  <c r="C15" i="7"/>
  <c r="N47" i="6"/>
  <c r="L47" i="6"/>
  <c r="N53" i="6"/>
  <c r="L53" i="6"/>
  <c r="C53" i="6"/>
  <c r="B12" i="6"/>
  <c r="N40" i="6"/>
  <c r="N31" i="6"/>
  <c r="L31" i="6"/>
  <c r="N11" i="6"/>
  <c r="N9" i="6"/>
  <c r="N16" i="6"/>
  <c r="L16" i="6"/>
  <c r="L11" i="6"/>
  <c r="L9" i="6"/>
  <c r="G17" i="6"/>
  <c r="G15" i="6"/>
  <c r="G13" i="6"/>
  <c r="E17" i="6"/>
  <c r="E15" i="6"/>
  <c r="E13" i="6"/>
  <c r="C17" i="6"/>
  <c r="C15" i="6"/>
  <c r="C13" i="6"/>
  <c r="G53" i="8"/>
  <c r="G8" i="8"/>
  <c r="G10" i="8"/>
  <c r="G16" i="8"/>
  <c r="G19" i="8"/>
  <c r="G52" i="8"/>
  <c r="G49" i="8"/>
  <c r="G21" i="8"/>
  <c r="G23" i="8"/>
  <c r="G28" i="8"/>
  <c r="G27" i="8"/>
  <c r="G26" i="8"/>
  <c r="G53" i="7"/>
  <c r="G8" i="7"/>
  <c r="G10" i="7"/>
  <c r="G16" i="7"/>
  <c r="G19" i="7"/>
  <c r="G52" i="7"/>
  <c r="G49" i="7"/>
  <c r="G21" i="7"/>
  <c r="G23" i="7"/>
  <c r="G28" i="7"/>
  <c r="G27" i="7"/>
  <c r="G26" i="7"/>
  <c r="G53" i="6"/>
  <c r="G8" i="6"/>
  <c r="G10" i="6"/>
  <c r="G16" i="6"/>
  <c r="G19" i="6"/>
  <c r="G52" i="6"/>
  <c r="G49" i="6"/>
  <c r="G21" i="6"/>
  <c r="G23" i="6"/>
  <c r="G28" i="6"/>
  <c r="G27" i="6"/>
  <c r="G26" i="6"/>
  <c r="G53" i="4"/>
  <c r="G8" i="4"/>
  <c r="G10" i="4"/>
  <c r="G16" i="4"/>
  <c r="G19" i="4"/>
  <c r="G52" i="4"/>
  <c r="G21" i="4"/>
  <c r="G23" i="4"/>
  <c r="G28" i="4"/>
  <c r="G27" i="4"/>
  <c r="G26" i="4"/>
  <c r="G53" i="2"/>
  <c r="G52" i="2"/>
  <c r="G49" i="2"/>
  <c r="G28" i="2"/>
  <c r="G27" i="2"/>
  <c r="G26" i="2"/>
  <c r="G49" i="1"/>
  <c r="G53" i="1"/>
  <c r="G52" i="1"/>
  <c r="G28" i="1"/>
  <c r="G27" i="1"/>
  <c r="G26" i="1"/>
  <c r="N47" i="5"/>
  <c r="L47" i="5"/>
  <c r="N54" i="5"/>
  <c r="L54" i="5"/>
  <c r="C44" i="5"/>
  <c r="N42" i="5"/>
  <c r="N16" i="5"/>
  <c r="N9" i="5"/>
  <c r="L42" i="5"/>
  <c r="L16" i="5"/>
  <c r="L9" i="5"/>
  <c r="G53" i="5"/>
  <c r="G52" i="5"/>
  <c r="G49" i="5"/>
  <c r="G28" i="5"/>
  <c r="G27" i="5"/>
  <c r="G26" i="5"/>
  <c r="G18" i="5"/>
  <c r="G17" i="5"/>
  <c r="G13" i="5"/>
  <c r="E18" i="5"/>
  <c r="E17" i="5"/>
  <c r="E13" i="5"/>
  <c r="C17" i="5"/>
  <c r="C18" i="5"/>
  <c r="C13" i="5"/>
  <c r="E55" i="8"/>
  <c r="C55" i="8"/>
  <c r="N20" i="8"/>
  <c r="N12" i="8"/>
  <c r="N22" i="8"/>
  <c r="E54" i="8"/>
  <c r="L20" i="8"/>
  <c r="L12" i="8"/>
  <c r="L22" i="8"/>
  <c r="C54" i="8"/>
  <c r="E53" i="8"/>
  <c r="C53" i="8"/>
  <c r="E8" i="8"/>
  <c r="E10" i="8"/>
  <c r="E16" i="8"/>
  <c r="E19" i="8"/>
  <c r="E52" i="8"/>
  <c r="C8" i="8"/>
  <c r="C10" i="8"/>
  <c r="C16" i="8"/>
  <c r="C19" i="8"/>
  <c r="C52" i="8"/>
  <c r="K49" i="8"/>
  <c r="E49" i="8"/>
  <c r="C49" i="8"/>
  <c r="N48" i="8"/>
  <c r="L48" i="8"/>
  <c r="K48" i="8"/>
  <c r="E48" i="8"/>
  <c r="C48" i="8"/>
  <c r="K47" i="8"/>
  <c r="E47" i="8"/>
  <c r="C47" i="8"/>
  <c r="K46" i="8"/>
  <c r="E21" i="8"/>
  <c r="E23" i="8"/>
  <c r="E44" i="8"/>
  <c r="E46" i="8"/>
  <c r="C21" i="8"/>
  <c r="C23" i="8"/>
  <c r="C44" i="8"/>
  <c r="C46" i="8"/>
  <c r="E45" i="8"/>
  <c r="C45" i="8"/>
  <c r="N33" i="8"/>
  <c r="N41" i="8"/>
  <c r="N43" i="8"/>
  <c r="L33" i="8"/>
  <c r="L41" i="8"/>
  <c r="L43" i="8"/>
  <c r="K43" i="8"/>
  <c r="K42" i="8"/>
  <c r="E41" i="8"/>
  <c r="C41" i="8"/>
  <c r="K40" i="8"/>
  <c r="E40" i="8"/>
  <c r="C40" i="8"/>
  <c r="K39" i="8"/>
  <c r="E39" i="8"/>
  <c r="C39" i="8"/>
  <c r="K38" i="8"/>
  <c r="E38" i="8"/>
  <c r="C38" i="8"/>
  <c r="K37" i="8"/>
  <c r="E37" i="8"/>
  <c r="C37" i="8"/>
  <c r="K36" i="8"/>
  <c r="E34" i="8"/>
  <c r="C34" i="8"/>
  <c r="K33" i="8"/>
  <c r="E33" i="8"/>
  <c r="C33" i="8"/>
  <c r="K32" i="8"/>
  <c r="K31" i="8"/>
  <c r="K30" i="8"/>
  <c r="E30" i="8"/>
  <c r="C30" i="8"/>
  <c r="K29" i="8"/>
  <c r="E29" i="8"/>
  <c r="C29" i="8"/>
  <c r="K28" i="8"/>
  <c r="E28" i="8"/>
  <c r="C28" i="8"/>
  <c r="K27" i="8"/>
  <c r="E27" i="8"/>
  <c r="C27" i="8"/>
  <c r="E26" i="8"/>
  <c r="C26" i="8"/>
  <c r="D23" i="8"/>
  <c r="B23" i="8"/>
  <c r="K22" i="8"/>
  <c r="D22" i="8"/>
  <c r="B22" i="8"/>
  <c r="D21" i="8"/>
  <c r="B21" i="8"/>
  <c r="K20" i="8"/>
  <c r="D20" i="8"/>
  <c r="B20" i="8"/>
  <c r="K19" i="8"/>
  <c r="D19" i="8"/>
  <c r="B19" i="8"/>
  <c r="K18" i="8"/>
  <c r="D18" i="8"/>
  <c r="B18" i="8"/>
  <c r="K17" i="8"/>
  <c r="D17" i="8"/>
  <c r="B17" i="8"/>
  <c r="K16" i="8"/>
  <c r="D16" i="8"/>
  <c r="B16" i="8"/>
  <c r="K15" i="8"/>
  <c r="D15" i="8"/>
  <c r="B15" i="8"/>
  <c r="K14" i="8"/>
  <c r="D14" i="8"/>
  <c r="B14" i="8"/>
  <c r="D13" i="8"/>
  <c r="B13" i="8"/>
  <c r="K12" i="8"/>
  <c r="D12" i="8"/>
  <c r="B12" i="8"/>
  <c r="K11" i="8"/>
  <c r="D11" i="8"/>
  <c r="B11" i="8"/>
  <c r="K10" i="8"/>
  <c r="D10" i="8"/>
  <c r="B10" i="8"/>
  <c r="K9" i="8"/>
  <c r="D9" i="8"/>
  <c r="B9" i="8"/>
  <c r="K8" i="8"/>
  <c r="D8" i="8"/>
  <c r="B8" i="8"/>
  <c r="K7" i="8"/>
  <c r="D7" i="8"/>
  <c r="B7" i="8"/>
  <c r="K6" i="8"/>
  <c r="D6" i="8"/>
  <c r="B6" i="8"/>
  <c r="E55" i="7"/>
  <c r="C55" i="7"/>
  <c r="N20" i="7"/>
  <c r="N12" i="7"/>
  <c r="N22" i="7"/>
  <c r="E54" i="7"/>
  <c r="L20" i="7"/>
  <c r="L12" i="7"/>
  <c r="L22" i="7"/>
  <c r="C54" i="7"/>
  <c r="E53" i="7"/>
  <c r="C53" i="7"/>
  <c r="E8" i="7"/>
  <c r="E10" i="7"/>
  <c r="E16" i="7"/>
  <c r="E19" i="7"/>
  <c r="E52" i="7"/>
  <c r="C8" i="7"/>
  <c r="C10" i="7"/>
  <c r="C16" i="7"/>
  <c r="C19" i="7"/>
  <c r="C52" i="7"/>
  <c r="K49" i="7"/>
  <c r="E49" i="7"/>
  <c r="C49" i="7"/>
  <c r="N48" i="7"/>
  <c r="K48" i="7"/>
  <c r="E48" i="7"/>
  <c r="C48" i="7"/>
  <c r="K47" i="7"/>
  <c r="E47" i="7"/>
  <c r="C47" i="7"/>
  <c r="K46" i="7"/>
  <c r="E21" i="7"/>
  <c r="E23" i="7"/>
  <c r="E44" i="7"/>
  <c r="E46" i="7"/>
  <c r="C21" i="7"/>
  <c r="C23" i="7"/>
  <c r="C44" i="7"/>
  <c r="C46" i="7"/>
  <c r="E45" i="7"/>
  <c r="C45" i="7"/>
  <c r="N33" i="7"/>
  <c r="N41" i="7"/>
  <c r="N43" i="7"/>
  <c r="L33" i="7"/>
  <c r="L41" i="7"/>
  <c r="L43" i="7"/>
  <c r="K43" i="7"/>
  <c r="K42" i="7"/>
  <c r="E41" i="7"/>
  <c r="C41" i="7"/>
  <c r="K40" i="7"/>
  <c r="E40" i="7"/>
  <c r="C40" i="7"/>
  <c r="K39" i="7"/>
  <c r="E39" i="7"/>
  <c r="C39" i="7"/>
  <c r="K38" i="7"/>
  <c r="E38" i="7"/>
  <c r="C38" i="7"/>
  <c r="K37" i="7"/>
  <c r="E37" i="7"/>
  <c r="C37" i="7"/>
  <c r="K36" i="7"/>
  <c r="E34" i="7"/>
  <c r="C34" i="7"/>
  <c r="K33" i="7"/>
  <c r="E33" i="7"/>
  <c r="C33" i="7"/>
  <c r="K32" i="7"/>
  <c r="K31" i="7"/>
  <c r="K30" i="7"/>
  <c r="E30" i="7"/>
  <c r="C30" i="7"/>
  <c r="K29" i="7"/>
  <c r="E29" i="7"/>
  <c r="C29" i="7"/>
  <c r="K28" i="7"/>
  <c r="E28" i="7"/>
  <c r="C28" i="7"/>
  <c r="K27" i="7"/>
  <c r="E27" i="7"/>
  <c r="C27" i="7"/>
  <c r="E26" i="7"/>
  <c r="C26" i="7"/>
  <c r="D23" i="7"/>
  <c r="B23" i="7"/>
  <c r="K22" i="7"/>
  <c r="D22" i="7"/>
  <c r="B22" i="7"/>
  <c r="D21" i="7"/>
  <c r="B21" i="7"/>
  <c r="K20" i="7"/>
  <c r="D20" i="7"/>
  <c r="B20" i="7"/>
  <c r="K19" i="7"/>
  <c r="D19" i="7"/>
  <c r="B19" i="7"/>
  <c r="K18" i="7"/>
  <c r="D18" i="7"/>
  <c r="B18" i="7"/>
  <c r="K17" i="7"/>
  <c r="D17" i="7"/>
  <c r="B17" i="7"/>
  <c r="K16" i="7"/>
  <c r="D16" i="7"/>
  <c r="B16" i="7"/>
  <c r="K15" i="7"/>
  <c r="D15" i="7"/>
  <c r="B15" i="7"/>
  <c r="K14" i="7"/>
  <c r="D14" i="7"/>
  <c r="B14" i="7"/>
  <c r="D13" i="7"/>
  <c r="B13" i="7"/>
  <c r="K12" i="7"/>
  <c r="D12" i="7"/>
  <c r="B12" i="7"/>
  <c r="K11" i="7"/>
  <c r="D11" i="7"/>
  <c r="B11" i="7"/>
  <c r="K10" i="7"/>
  <c r="D10" i="7"/>
  <c r="B10" i="7"/>
  <c r="K9" i="7"/>
  <c r="D9" i="7"/>
  <c r="B9" i="7"/>
  <c r="K8" i="7"/>
  <c r="D8" i="7"/>
  <c r="B8" i="7"/>
  <c r="K7" i="7"/>
  <c r="D7" i="7"/>
  <c r="B7" i="7"/>
  <c r="K6" i="7"/>
  <c r="D6" i="7"/>
  <c r="B6" i="7"/>
  <c r="E55" i="6"/>
  <c r="C55" i="6"/>
  <c r="N20" i="6"/>
  <c r="N12" i="6"/>
  <c r="N22" i="6"/>
  <c r="E54" i="6"/>
  <c r="L20" i="6"/>
  <c r="L12" i="6"/>
  <c r="L22" i="6"/>
  <c r="C54" i="6"/>
  <c r="E53" i="6"/>
  <c r="E8" i="6"/>
  <c r="E10" i="6"/>
  <c r="E16" i="6"/>
  <c r="E19" i="6"/>
  <c r="E52" i="6"/>
  <c r="C8" i="6"/>
  <c r="C10" i="6"/>
  <c r="C16" i="6"/>
  <c r="C19" i="6"/>
  <c r="C52" i="6"/>
  <c r="K49" i="6"/>
  <c r="E49" i="6"/>
  <c r="C49" i="6"/>
  <c r="K48" i="6"/>
  <c r="E48" i="6"/>
  <c r="C48" i="6"/>
  <c r="K47" i="6"/>
  <c r="E47" i="6"/>
  <c r="C47" i="6"/>
  <c r="K46" i="6"/>
  <c r="E21" i="6"/>
  <c r="E23" i="6"/>
  <c r="E44" i="6"/>
  <c r="E46" i="6"/>
  <c r="C21" i="6"/>
  <c r="C23" i="6"/>
  <c r="C44" i="6"/>
  <c r="C46" i="6"/>
  <c r="E45" i="6"/>
  <c r="C45" i="6"/>
  <c r="N33" i="6"/>
  <c r="N41" i="6"/>
  <c r="N43" i="6"/>
  <c r="L33" i="6"/>
  <c r="L41" i="6"/>
  <c r="L43" i="6"/>
  <c r="K43" i="6"/>
  <c r="K42" i="6"/>
  <c r="E41" i="6"/>
  <c r="C41" i="6"/>
  <c r="K40" i="6"/>
  <c r="E40" i="6"/>
  <c r="C40" i="6"/>
  <c r="K39" i="6"/>
  <c r="E39" i="6"/>
  <c r="C39" i="6"/>
  <c r="K38" i="6"/>
  <c r="E38" i="6"/>
  <c r="C38" i="6"/>
  <c r="K37" i="6"/>
  <c r="E37" i="6"/>
  <c r="C37" i="6"/>
  <c r="K36" i="6"/>
  <c r="E34" i="6"/>
  <c r="C34" i="6"/>
  <c r="K33" i="6"/>
  <c r="E33" i="6"/>
  <c r="C33" i="6"/>
  <c r="K32" i="6"/>
  <c r="K31" i="6"/>
  <c r="K30" i="6"/>
  <c r="E30" i="6"/>
  <c r="C30" i="6"/>
  <c r="K29" i="6"/>
  <c r="E29" i="6"/>
  <c r="C29" i="6"/>
  <c r="K28" i="6"/>
  <c r="E28" i="6"/>
  <c r="C28" i="6"/>
  <c r="K27" i="6"/>
  <c r="E27" i="6"/>
  <c r="C27" i="6"/>
  <c r="E26" i="6"/>
  <c r="C26" i="6"/>
  <c r="D23" i="6"/>
  <c r="B23" i="6"/>
  <c r="K22" i="6"/>
  <c r="D22" i="6"/>
  <c r="B22" i="6"/>
  <c r="D21" i="6"/>
  <c r="B21" i="6"/>
  <c r="K20" i="6"/>
  <c r="D20" i="6"/>
  <c r="B20" i="6"/>
  <c r="K19" i="6"/>
  <c r="D19" i="6"/>
  <c r="B19" i="6"/>
  <c r="K18" i="6"/>
  <c r="D18" i="6"/>
  <c r="B18" i="6"/>
  <c r="K17" i="6"/>
  <c r="D17" i="6"/>
  <c r="B17" i="6"/>
  <c r="K16" i="6"/>
  <c r="D16" i="6"/>
  <c r="B16" i="6"/>
  <c r="K15" i="6"/>
  <c r="D15" i="6"/>
  <c r="B15" i="6"/>
  <c r="K14" i="6"/>
  <c r="D14" i="6"/>
  <c r="B14" i="6"/>
  <c r="D13" i="6"/>
  <c r="B13" i="6"/>
  <c r="K12" i="6"/>
  <c r="D12" i="6"/>
  <c r="K11" i="6"/>
  <c r="D11" i="6"/>
  <c r="B11" i="6"/>
  <c r="K10" i="6"/>
  <c r="D10" i="6"/>
  <c r="B10" i="6"/>
  <c r="K9" i="6"/>
  <c r="D9" i="6"/>
  <c r="B9" i="6"/>
  <c r="K8" i="6"/>
  <c r="D8" i="6"/>
  <c r="B8" i="6"/>
  <c r="K7" i="6"/>
  <c r="D7" i="6"/>
  <c r="B7" i="6"/>
  <c r="K6" i="6"/>
  <c r="D6" i="6"/>
  <c r="B6" i="6"/>
  <c r="E55" i="5"/>
  <c r="C55" i="5"/>
  <c r="N20" i="5"/>
  <c r="N12" i="5"/>
  <c r="N22" i="5"/>
  <c r="E54" i="5"/>
  <c r="L20" i="5"/>
  <c r="L12" i="5"/>
  <c r="L22" i="5"/>
  <c r="C54" i="5"/>
  <c r="E53" i="5"/>
  <c r="C53" i="5"/>
  <c r="E8" i="5"/>
  <c r="E10" i="5"/>
  <c r="E16" i="5"/>
  <c r="E19" i="5"/>
  <c r="E52" i="5"/>
  <c r="C8" i="5"/>
  <c r="C10" i="5"/>
  <c r="C16" i="5"/>
  <c r="C19" i="5"/>
  <c r="C52" i="5"/>
  <c r="K49" i="5"/>
  <c r="E49" i="5"/>
  <c r="C49" i="5"/>
  <c r="K48" i="5"/>
  <c r="E48" i="5"/>
  <c r="C48" i="5"/>
  <c r="K47" i="5"/>
  <c r="E47" i="5"/>
  <c r="C47" i="5"/>
  <c r="K46" i="5"/>
  <c r="E21" i="5"/>
  <c r="E23" i="5"/>
  <c r="E44" i="5"/>
  <c r="E46" i="5"/>
  <c r="C21" i="5"/>
  <c r="C23" i="5"/>
  <c r="C46" i="5"/>
  <c r="E45" i="5"/>
  <c r="C45" i="5"/>
  <c r="N33" i="5"/>
  <c r="N41" i="5"/>
  <c r="N43" i="5"/>
  <c r="L33" i="5"/>
  <c r="L41" i="5"/>
  <c r="L43" i="5"/>
  <c r="K43" i="5"/>
  <c r="K42" i="5"/>
  <c r="E41" i="5"/>
  <c r="C41" i="5"/>
  <c r="K40" i="5"/>
  <c r="E40" i="5"/>
  <c r="C40" i="5"/>
  <c r="K39" i="5"/>
  <c r="E39" i="5"/>
  <c r="C39" i="5"/>
  <c r="K38" i="5"/>
  <c r="E38" i="5"/>
  <c r="C38" i="5"/>
  <c r="K37" i="5"/>
  <c r="E37" i="5"/>
  <c r="C37" i="5"/>
  <c r="K36" i="5"/>
  <c r="E34" i="5"/>
  <c r="C34" i="5"/>
  <c r="K33" i="5"/>
  <c r="E33" i="5"/>
  <c r="C33" i="5"/>
  <c r="K32" i="5"/>
  <c r="K31" i="5"/>
  <c r="K30" i="5"/>
  <c r="E30" i="5"/>
  <c r="C30" i="5"/>
  <c r="K29" i="5"/>
  <c r="E29" i="5"/>
  <c r="C29" i="5"/>
  <c r="K28" i="5"/>
  <c r="E28" i="5"/>
  <c r="C28" i="5"/>
  <c r="K27" i="5"/>
  <c r="E27" i="5"/>
  <c r="C27" i="5"/>
  <c r="E26" i="5"/>
  <c r="C26" i="5"/>
  <c r="G8" i="5"/>
  <c r="G10" i="5"/>
  <c r="G16" i="5"/>
  <c r="G19" i="5"/>
  <c r="G21" i="5"/>
  <c r="G23" i="5"/>
  <c r="D23" i="5"/>
  <c r="B23" i="5"/>
  <c r="K22" i="5"/>
  <c r="D22" i="5"/>
  <c r="B22" i="5"/>
  <c r="D21" i="5"/>
  <c r="B21" i="5"/>
  <c r="K20" i="5"/>
  <c r="D20" i="5"/>
  <c r="B20" i="5"/>
  <c r="K19" i="5"/>
  <c r="D19" i="5"/>
  <c r="B19" i="5"/>
  <c r="K18" i="5"/>
  <c r="D18" i="5"/>
  <c r="B18" i="5"/>
  <c r="K17" i="5"/>
  <c r="D17" i="5"/>
  <c r="B17" i="5"/>
  <c r="K16" i="5"/>
  <c r="D16" i="5"/>
  <c r="B16" i="5"/>
  <c r="K15" i="5"/>
  <c r="D15" i="5"/>
  <c r="B15" i="5"/>
  <c r="K14" i="5"/>
  <c r="D14" i="5"/>
  <c r="B14" i="5"/>
  <c r="D13" i="5"/>
  <c r="B13" i="5"/>
  <c r="K12" i="5"/>
  <c r="D12" i="5"/>
  <c r="B12" i="5"/>
  <c r="K11" i="5"/>
  <c r="D11" i="5"/>
  <c r="B11" i="5"/>
  <c r="K10" i="5"/>
  <c r="D10" i="5"/>
  <c r="B10" i="5"/>
  <c r="K9" i="5"/>
  <c r="D9" i="5"/>
  <c r="B9" i="5"/>
  <c r="K8" i="5"/>
  <c r="D8" i="5"/>
  <c r="B8" i="5"/>
  <c r="K7" i="5"/>
  <c r="D7" i="5"/>
  <c r="B7" i="5"/>
  <c r="K6" i="5"/>
  <c r="D6" i="5"/>
  <c r="B6" i="5"/>
  <c r="E55" i="4"/>
  <c r="C55" i="4"/>
  <c r="N20" i="4"/>
  <c r="N12" i="4"/>
  <c r="N22" i="4"/>
  <c r="E54" i="4"/>
  <c r="L20" i="4"/>
  <c r="L12" i="4"/>
  <c r="L22" i="4"/>
  <c r="C54" i="4"/>
  <c r="E53" i="4"/>
  <c r="C53" i="4"/>
  <c r="E8" i="4"/>
  <c r="E10" i="4"/>
  <c r="E16" i="4"/>
  <c r="E19" i="4"/>
  <c r="E52" i="4"/>
  <c r="C8" i="4"/>
  <c r="C10" i="4"/>
  <c r="C16" i="4"/>
  <c r="C19" i="4"/>
  <c r="C52" i="4"/>
  <c r="K49" i="4"/>
  <c r="N48" i="4"/>
  <c r="L48" i="4"/>
  <c r="K48" i="4"/>
  <c r="E48" i="4"/>
  <c r="C48" i="4"/>
  <c r="K47" i="4"/>
  <c r="E47" i="4"/>
  <c r="C47" i="4"/>
  <c r="K46" i="4"/>
  <c r="E21" i="4"/>
  <c r="E23" i="4"/>
  <c r="E46" i="4"/>
  <c r="C21" i="4"/>
  <c r="C23" i="4"/>
  <c r="C46" i="4"/>
  <c r="E45" i="4"/>
  <c r="C45" i="4"/>
  <c r="N33" i="4"/>
  <c r="N41" i="4"/>
  <c r="N43" i="4"/>
  <c r="L33" i="4"/>
  <c r="L41" i="4"/>
  <c r="L43" i="4"/>
  <c r="K43" i="4"/>
  <c r="K42" i="4"/>
  <c r="E41" i="4"/>
  <c r="C41" i="4"/>
  <c r="K40" i="4"/>
  <c r="E40" i="4"/>
  <c r="C40" i="4"/>
  <c r="K39" i="4"/>
  <c r="E39" i="4"/>
  <c r="C39" i="4"/>
  <c r="K38" i="4"/>
  <c r="E38" i="4"/>
  <c r="C38" i="4"/>
  <c r="K37" i="4"/>
  <c r="E37" i="4"/>
  <c r="C37" i="4"/>
  <c r="K36" i="4"/>
  <c r="E34" i="4"/>
  <c r="C34" i="4"/>
  <c r="K33" i="4"/>
  <c r="E33" i="4"/>
  <c r="C33" i="4"/>
  <c r="K32" i="4"/>
  <c r="K31" i="4"/>
  <c r="K30" i="4"/>
  <c r="E30" i="4"/>
  <c r="C30" i="4"/>
  <c r="K29" i="4"/>
  <c r="E29" i="4"/>
  <c r="C29" i="4"/>
  <c r="K28" i="4"/>
  <c r="E28" i="4"/>
  <c r="C28" i="4"/>
  <c r="K27" i="4"/>
  <c r="E27" i="4"/>
  <c r="C27" i="4"/>
  <c r="E26" i="4"/>
  <c r="C26" i="4"/>
  <c r="D23" i="4"/>
  <c r="B23" i="4"/>
  <c r="K22" i="4"/>
  <c r="D22" i="4"/>
  <c r="B22" i="4"/>
  <c r="D21" i="4"/>
  <c r="B21" i="4"/>
  <c r="K20" i="4"/>
  <c r="D20" i="4"/>
  <c r="B20" i="4"/>
  <c r="K19" i="4"/>
  <c r="D19" i="4"/>
  <c r="B19" i="4"/>
  <c r="K18" i="4"/>
  <c r="D18" i="4"/>
  <c r="B18" i="4"/>
  <c r="K17" i="4"/>
  <c r="D17" i="4"/>
  <c r="B17" i="4"/>
  <c r="K16" i="4"/>
  <c r="D16" i="4"/>
  <c r="B16" i="4"/>
  <c r="K15" i="4"/>
  <c r="D15" i="4"/>
  <c r="B15" i="4"/>
  <c r="K14" i="4"/>
  <c r="D14" i="4"/>
  <c r="B14" i="4"/>
  <c r="D13" i="4"/>
  <c r="B13" i="4"/>
  <c r="K12" i="4"/>
  <c r="D12" i="4"/>
  <c r="B12" i="4"/>
  <c r="K11" i="4"/>
  <c r="D11" i="4"/>
  <c r="B11" i="4"/>
  <c r="K10" i="4"/>
  <c r="D10" i="4"/>
  <c r="B10" i="4"/>
  <c r="K9" i="4"/>
  <c r="D9" i="4"/>
  <c r="B9" i="4"/>
  <c r="K8" i="4"/>
  <c r="D8" i="4"/>
  <c r="B8" i="4"/>
  <c r="K7" i="4"/>
  <c r="D7" i="4"/>
  <c r="B7" i="4"/>
  <c r="K6" i="4"/>
  <c r="D6" i="4"/>
  <c r="B6" i="4"/>
  <c r="E55" i="2"/>
  <c r="C55" i="2"/>
  <c r="N20" i="2"/>
  <c r="N12" i="2"/>
  <c r="N22" i="2"/>
  <c r="E54" i="2"/>
  <c r="L20" i="2"/>
  <c r="L12" i="2"/>
  <c r="L22" i="2"/>
  <c r="C54" i="2"/>
  <c r="E53" i="2"/>
  <c r="C53" i="2"/>
  <c r="E8" i="2"/>
  <c r="E10" i="2"/>
  <c r="E16" i="2"/>
  <c r="E19" i="2"/>
  <c r="E52" i="2"/>
  <c r="C8" i="2"/>
  <c r="C10" i="2"/>
  <c r="C16" i="2"/>
  <c r="C19" i="2"/>
  <c r="C52" i="2"/>
  <c r="K49" i="2"/>
  <c r="E49" i="2"/>
  <c r="C49" i="2"/>
  <c r="N48" i="2"/>
  <c r="L48" i="2"/>
  <c r="K48" i="2"/>
  <c r="E48" i="2"/>
  <c r="C48" i="2"/>
  <c r="K47" i="2"/>
  <c r="E47" i="2"/>
  <c r="C47" i="2"/>
  <c r="K46" i="2"/>
  <c r="E21" i="2"/>
  <c r="E23" i="2"/>
  <c r="E44" i="2"/>
  <c r="E46" i="2"/>
  <c r="C21" i="2"/>
  <c r="C23" i="2"/>
  <c r="C44" i="2"/>
  <c r="C46" i="2"/>
  <c r="E45" i="2"/>
  <c r="C45" i="2"/>
  <c r="N33" i="2"/>
  <c r="N41" i="2"/>
  <c r="N43" i="2"/>
  <c r="L33" i="2"/>
  <c r="L41" i="2"/>
  <c r="L43" i="2"/>
  <c r="K43" i="2"/>
  <c r="K42" i="2"/>
  <c r="E41" i="2"/>
  <c r="C41" i="2"/>
  <c r="K40" i="2"/>
  <c r="E40" i="2"/>
  <c r="C40" i="2"/>
  <c r="K39" i="2"/>
  <c r="E39" i="2"/>
  <c r="C39" i="2"/>
  <c r="K38" i="2"/>
  <c r="E38" i="2"/>
  <c r="C38" i="2"/>
  <c r="K37" i="2"/>
  <c r="E37" i="2"/>
  <c r="C37" i="2"/>
  <c r="K36" i="2"/>
  <c r="E34" i="2"/>
  <c r="C34" i="2"/>
  <c r="K33" i="2"/>
  <c r="E33" i="2"/>
  <c r="C33" i="2"/>
  <c r="K32" i="2"/>
  <c r="K31" i="2"/>
  <c r="K30" i="2"/>
  <c r="E30" i="2"/>
  <c r="C30" i="2"/>
  <c r="K29" i="2"/>
  <c r="E29" i="2"/>
  <c r="C29" i="2"/>
  <c r="K28" i="2"/>
  <c r="E28" i="2"/>
  <c r="C28" i="2"/>
  <c r="K27" i="2"/>
  <c r="E27" i="2"/>
  <c r="C27" i="2"/>
  <c r="E26" i="2"/>
  <c r="C26" i="2"/>
  <c r="G8" i="2"/>
  <c r="G10" i="2"/>
  <c r="G16" i="2"/>
  <c r="G19" i="2"/>
  <c r="G21" i="2"/>
  <c r="G23" i="2"/>
  <c r="D23" i="2"/>
  <c r="B23" i="2"/>
  <c r="K22" i="2"/>
  <c r="D22" i="2"/>
  <c r="B22" i="2"/>
  <c r="D21" i="2"/>
  <c r="B21" i="2"/>
  <c r="K20" i="2"/>
  <c r="D20" i="2"/>
  <c r="B20" i="2"/>
  <c r="K19" i="2"/>
  <c r="D19" i="2"/>
  <c r="B19" i="2"/>
  <c r="K18" i="2"/>
  <c r="D18" i="2"/>
  <c r="B18" i="2"/>
  <c r="K17" i="2"/>
  <c r="D17" i="2"/>
  <c r="B17" i="2"/>
  <c r="K16" i="2"/>
  <c r="D16" i="2"/>
  <c r="B16" i="2"/>
  <c r="K15" i="2"/>
  <c r="D15" i="2"/>
  <c r="B15" i="2"/>
  <c r="K14" i="2"/>
  <c r="D14" i="2"/>
  <c r="B14" i="2"/>
  <c r="D13" i="2"/>
  <c r="B13" i="2"/>
  <c r="K12" i="2"/>
  <c r="D12" i="2"/>
  <c r="B12" i="2"/>
  <c r="K11" i="2"/>
  <c r="D11" i="2"/>
  <c r="B11" i="2"/>
  <c r="K10" i="2"/>
  <c r="D10" i="2"/>
  <c r="B10" i="2"/>
  <c r="K9" i="2"/>
  <c r="D9" i="2"/>
  <c r="B9" i="2"/>
  <c r="K8" i="2"/>
  <c r="D8" i="2"/>
  <c r="B8" i="2"/>
  <c r="K7" i="2"/>
  <c r="D7" i="2"/>
  <c r="B7" i="2"/>
  <c r="K6" i="2"/>
  <c r="D6" i="2"/>
  <c r="B6" i="2"/>
  <c r="C48" i="1"/>
  <c r="C29" i="1"/>
  <c r="C46" i="1"/>
  <c r="C41" i="1"/>
  <c r="E41" i="1"/>
  <c r="E48" i="1"/>
  <c r="E55" i="1"/>
  <c r="C55" i="1"/>
  <c r="N12" i="1"/>
  <c r="N20" i="1"/>
  <c r="N22" i="1"/>
  <c r="E54" i="1"/>
  <c r="L12" i="1"/>
  <c r="L20" i="1"/>
  <c r="L22" i="1"/>
  <c r="C54" i="1"/>
  <c r="E53" i="1"/>
  <c r="C53" i="1"/>
  <c r="E49" i="1"/>
  <c r="C49" i="1"/>
  <c r="E47" i="1"/>
  <c r="E46" i="1"/>
  <c r="C47" i="1"/>
  <c r="E45" i="1"/>
  <c r="C45" i="1"/>
  <c r="E44" i="1"/>
  <c r="C44" i="1"/>
  <c r="E40" i="1"/>
  <c r="C40" i="1"/>
  <c r="E39" i="1"/>
  <c r="C39" i="1"/>
  <c r="E38" i="1"/>
  <c r="C38" i="1"/>
  <c r="E37" i="1"/>
  <c r="C37" i="1"/>
  <c r="E34" i="1"/>
  <c r="C34" i="1"/>
  <c r="E33" i="1"/>
  <c r="C33" i="1"/>
  <c r="E30" i="1"/>
  <c r="C30" i="1"/>
  <c r="E29" i="1"/>
  <c r="E28" i="1"/>
  <c r="C28" i="1"/>
  <c r="E27" i="1"/>
  <c r="C27" i="1"/>
  <c r="E26" i="1"/>
  <c r="C26" i="1"/>
  <c r="K38" i="1"/>
  <c r="K42" i="1"/>
  <c r="K22" i="1"/>
  <c r="E52" i="1"/>
  <c r="C52" i="1"/>
  <c r="K36" i="1"/>
  <c r="K49" i="1"/>
  <c r="K47" i="1"/>
  <c r="K46" i="1"/>
  <c r="K28" i="1"/>
  <c r="K15" i="1"/>
  <c r="K14" i="1"/>
  <c r="K20" i="1"/>
  <c r="L33" i="1"/>
  <c r="N33" i="1"/>
  <c r="K33" i="1"/>
  <c r="D12" i="1"/>
  <c r="D11" i="1"/>
  <c r="B12" i="1"/>
  <c r="B11" i="1"/>
  <c r="C8" i="1"/>
  <c r="C10" i="1"/>
  <c r="C16" i="1"/>
  <c r="C19" i="1"/>
  <c r="C21" i="1"/>
  <c r="C23" i="1"/>
  <c r="E8" i="1"/>
  <c r="E10" i="1"/>
  <c r="E16" i="1"/>
  <c r="E19" i="1"/>
  <c r="E21" i="1"/>
  <c r="E23" i="1"/>
  <c r="B23" i="1"/>
  <c r="B22" i="1"/>
  <c r="B21" i="1"/>
  <c r="B20" i="1"/>
  <c r="B19" i="1"/>
  <c r="B18" i="1"/>
  <c r="B17" i="1"/>
  <c r="B16" i="1"/>
  <c r="B15" i="1"/>
  <c r="B14" i="1"/>
  <c r="B13" i="1"/>
  <c r="B10" i="1"/>
  <c r="B9" i="1"/>
  <c r="B8" i="1"/>
  <c r="B7" i="1"/>
  <c r="B6" i="1"/>
  <c r="G8" i="1"/>
  <c r="G10" i="1"/>
  <c r="G16" i="1"/>
  <c r="G19" i="1"/>
  <c r="G21" i="1"/>
  <c r="G23" i="1"/>
  <c r="D23" i="1"/>
  <c r="D22" i="1"/>
  <c r="D21" i="1"/>
  <c r="D20" i="1"/>
  <c r="D19" i="1"/>
  <c r="D18" i="1"/>
  <c r="D17" i="1"/>
  <c r="D16" i="1"/>
  <c r="D15" i="1"/>
  <c r="D14" i="1"/>
  <c r="D13" i="1"/>
  <c r="D10" i="1"/>
  <c r="D9" i="1"/>
  <c r="D8" i="1"/>
  <c r="D7" i="1"/>
  <c r="D6" i="1"/>
  <c r="N48" i="1"/>
  <c r="L48" i="1"/>
  <c r="K48" i="1"/>
  <c r="L41" i="1"/>
  <c r="L43" i="1"/>
  <c r="N41" i="1"/>
  <c r="N43" i="1"/>
  <c r="K43" i="1"/>
  <c r="K40" i="1"/>
  <c r="K39" i="1"/>
  <c r="K37" i="1"/>
  <c r="K32" i="1"/>
  <c r="K31" i="1"/>
  <c r="K30" i="1"/>
  <c r="K29" i="1"/>
  <c r="K27" i="1"/>
  <c r="K19" i="1"/>
  <c r="K18" i="1"/>
  <c r="K17" i="1"/>
  <c r="K16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<sst xmlns="http://schemas.openxmlformats.org/spreadsheetml/2006/main" count="902" uniqueCount="125">
  <si>
    <t>Income Statement</t>
  </si>
  <si>
    <t>Cost of sales</t>
  </si>
  <si>
    <t>Gross profit</t>
  </si>
  <si>
    <t>Research &amp; development</t>
  </si>
  <si>
    <t>Selling, general and administrative expenses</t>
  </si>
  <si>
    <t>Operating profit</t>
  </si>
  <si>
    <t>Finance income (expense)</t>
  </si>
  <si>
    <t>Share of result of associated companies</t>
  </si>
  <si>
    <t>Income tax</t>
  </si>
  <si>
    <t>Net profit</t>
  </si>
  <si>
    <t>€ millions</t>
  </si>
  <si>
    <t>Statement of financial position</t>
  </si>
  <si>
    <t>Non-current assets</t>
  </si>
  <si>
    <t>Intangible assets</t>
  </si>
  <si>
    <t>Property, plant &amp; equipment</t>
  </si>
  <si>
    <t>Deferred taxes</t>
  </si>
  <si>
    <t xml:space="preserve">Other </t>
  </si>
  <si>
    <t>Current assets</t>
  </si>
  <si>
    <t>Trade receivables</t>
  </si>
  <si>
    <t>Other current assets</t>
  </si>
  <si>
    <t>Total assets</t>
  </si>
  <si>
    <t>Current liabilities</t>
  </si>
  <si>
    <t>Trade payables</t>
  </si>
  <si>
    <t>Provisions</t>
  </si>
  <si>
    <t>Other current liabilities</t>
  </si>
  <si>
    <t>Non-current liabilities</t>
  </si>
  <si>
    <t>Pensions and employee benefits</t>
  </si>
  <si>
    <t>Shareholders' equity</t>
  </si>
  <si>
    <t>Total equity and liabilities</t>
  </si>
  <si>
    <t>Research assignment template</t>
  </si>
  <si>
    <t>Profitability</t>
  </si>
  <si>
    <t>Liquidity</t>
  </si>
  <si>
    <t>Other</t>
  </si>
  <si>
    <t>Other income (expense)</t>
  </si>
  <si>
    <t>Pre-tax profit</t>
  </si>
  <si>
    <t>Net profit continuing operations</t>
  </si>
  <si>
    <t>Discontinued operations</t>
  </si>
  <si>
    <t>Operating expenses</t>
  </si>
  <si>
    <t>Goodwill</t>
  </si>
  <si>
    <t>Investments</t>
  </si>
  <si>
    <t>Inventories/Long-term contracts</t>
  </si>
  <si>
    <t>Assets held for disposal</t>
  </si>
  <si>
    <t>Liabilities held for disposal</t>
  </si>
  <si>
    <t>Trade receivables collection period (DSO)</t>
  </si>
  <si>
    <t>Trade payable payment period (DPO)</t>
  </si>
  <si>
    <t>Efficiency ratios</t>
  </si>
  <si>
    <t>Investment ratios</t>
  </si>
  <si>
    <t>Share price</t>
  </si>
  <si>
    <t>Market capitalization</t>
  </si>
  <si>
    <t>Net sales</t>
  </si>
  <si>
    <t>Other revenues</t>
  </si>
  <si>
    <t>Total revenues</t>
  </si>
  <si>
    <t>Depreciation, ammortization and provisions</t>
  </si>
  <si>
    <t>Short-term investments</t>
  </si>
  <si>
    <t>Short-term Borrowings</t>
  </si>
  <si>
    <t>Income taxes</t>
  </si>
  <si>
    <t>Long-term Borrowings</t>
  </si>
  <si>
    <t>Dividend per share</t>
  </si>
  <si>
    <t>% Change</t>
  </si>
  <si>
    <t>On PY</t>
  </si>
  <si>
    <t>Company</t>
  </si>
  <si>
    <t>2014</t>
  </si>
  <si>
    <t>Times</t>
  </si>
  <si>
    <t>%</t>
  </si>
  <si>
    <t>Ratio</t>
  </si>
  <si>
    <t>Gross margin (Gross profit/Revenues)</t>
  </si>
  <si>
    <t>Operating margin (Operating profit/Revenues)</t>
  </si>
  <si>
    <t>Net profit margin (Net profit/Revenues)</t>
  </si>
  <si>
    <t>Return on equity (Net profit/Shareholders' equity)</t>
  </si>
  <si>
    <t>Return on Capital employed (PBIT/Shareholders' equity + Long-term debt)</t>
  </si>
  <si>
    <t>Current ratio (Current assets/Current liabilities)</t>
  </si>
  <si>
    <t>Ratio:1</t>
  </si>
  <si>
    <t>Quick ratio (Current assets - inventory/Current liabilities)</t>
  </si>
  <si>
    <t>Asset Turnover (Sales/Non-current assets)</t>
  </si>
  <si>
    <t>Inventory holding period (DOI) (Cost of sales/inventory x 365)</t>
  </si>
  <si>
    <t>Days</t>
  </si>
  <si>
    <t>Inventory turnover (Cost of sales/inventory)</t>
  </si>
  <si>
    <t>2015</t>
  </si>
  <si>
    <t>Cash and cash equivalents</t>
  </si>
  <si>
    <t>Deferred tax liabilities</t>
  </si>
  <si>
    <t>€</t>
  </si>
  <si>
    <t>Price Earnings ratio (P/E) (Share price/EPS)</t>
  </si>
  <si>
    <t>Weighted Average number of shares outstanding</t>
  </si>
  <si>
    <t>2016</t>
  </si>
  <si>
    <t>Shares</t>
  </si>
  <si>
    <t>Mkt Cap</t>
  </si>
  <si>
    <t>Share Price</t>
  </si>
  <si>
    <t>Market capitalization € billion</t>
  </si>
  <si>
    <t>CHF millions</t>
  </si>
  <si>
    <t>CHF</t>
  </si>
  <si>
    <t>Capital Gearing/Debt/Equity ratio (LT Debt/LT Debt+Equity)</t>
  </si>
  <si>
    <t>Earnings per share (EPS) (Net Profit/Weighted Av No. of Shares)</t>
  </si>
  <si>
    <t>Dividend cover (Net Profit/Dividends)</t>
  </si>
  <si>
    <t>Dividend yield (Dividend/Share Price)</t>
  </si>
  <si>
    <t>Interest cover (PBIT/Interest expenses)</t>
  </si>
  <si>
    <t>£ millions</t>
  </si>
  <si>
    <t>£</t>
  </si>
  <si>
    <t>2017</t>
  </si>
  <si>
    <t>Investments and other financial assets</t>
  </si>
  <si>
    <t>31 December</t>
  </si>
  <si>
    <t>30 September</t>
  </si>
  <si>
    <t>31 March</t>
  </si>
  <si>
    <t>Company Barclays</t>
  </si>
  <si>
    <t>Company L'Oreal</t>
  </si>
  <si>
    <t>Company Nestlé</t>
  </si>
  <si>
    <t>Company Siemens</t>
  </si>
  <si>
    <t>Company Vodafone</t>
  </si>
  <si>
    <t xml:space="preserve">Effective tax rate (Income tax expense/Income before tax) </t>
  </si>
  <si>
    <t>R&amp;D as a % of revenues (R&amp;D expense/Revenues)</t>
  </si>
  <si>
    <t>Intangibles as a % of total assets (Intangible assets/ Total assets)</t>
  </si>
  <si>
    <t>Intangibles as a % of equity (Intangible assets/Equity)</t>
  </si>
  <si>
    <t>Interest</t>
  </si>
  <si>
    <t xml:space="preserve">Income </t>
  </si>
  <si>
    <t>Expense</t>
  </si>
  <si>
    <t>Net</t>
  </si>
  <si>
    <t>Fees</t>
  </si>
  <si>
    <t>Trading</t>
  </si>
  <si>
    <t>Investment</t>
  </si>
  <si>
    <t>Impairment charges</t>
  </si>
  <si>
    <t>Short Term Assets</t>
  </si>
  <si>
    <t>Long Term Assets</t>
  </si>
  <si>
    <t>Inventories/Long-term contracts/Trading assets</t>
  </si>
  <si>
    <t>Short Term Liabilites</t>
  </si>
  <si>
    <t>Long Term Liabilities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</si>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</sst>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#,##0.0;\(#,##0.0\)"/>
    <numFmt numFmtId="166" formatCode="#,##0.00;\(#,##0.00\)"/>
    <numFmt numFmtId="167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166" fontId="0" fillId="0" borderId="1" xfId="0" applyNumberFormat="1" applyBorder="1"/>
    <xf numFmtId="167" fontId="0" fillId="0" borderId="0" xfId="1" applyNumberFormat="1" applyFont="1"/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3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9082157" y="9817649"/>
          <a:ext cx="2356126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691731" y="9672979"/>
          <a:ext cx="38105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"/>
  <sheetViews>
    <sheetView zoomScale="125" zoomScaleNormal="125" zoomScalePageLayoutView="125" workbookViewId="0">
      <selection activeCell="A52" sqref="A52:A55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60</v>
      </c>
      <c r="B2" s="19" t="s">
        <v>58</v>
      </c>
      <c r="D2" s="19" t="s">
        <v>58</v>
      </c>
      <c r="K2" s="19" t="s">
        <v>58</v>
      </c>
    </row>
    <row r="3" spans="1:14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49</v>
      </c>
      <c r="B6" s="23" t="e">
        <f>(C6-E6)/E6</f>
        <v>#DIV/0!</v>
      </c>
      <c r="D6" s="23" t="e">
        <f>(E6-G6)/G6</f>
        <v>#DIV/0!</v>
      </c>
      <c r="F6" s="4"/>
      <c r="H6" s="4"/>
      <c r="I6" s="4"/>
      <c r="J6" s="1" t="s">
        <v>38</v>
      </c>
      <c r="K6" s="23" t="e">
        <f>(L6-N6)/N6</f>
        <v>#DIV/0!</v>
      </c>
    </row>
    <row r="7" spans="1:14">
      <c r="A7" s="1" t="s">
        <v>50</v>
      </c>
      <c r="B7" s="23" t="e">
        <f t="shared" ref="B7:B10" si="0">(C7-E7)/E7</f>
        <v>#DIV/0!</v>
      </c>
      <c r="C7" s="2"/>
      <c r="D7" s="23" t="e">
        <f t="shared" ref="D7:D10" si="1">(E7-G7)/G7</f>
        <v>#DIV/0!</v>
      </c>
      <c r="E7" s="2"/>
      <c r="G7" s="2"/>
      <c r="H7" s="4"/>
      <c r="I7" s="4"/>
      <c r="J7" s="1" t="s">
        <v>13</v>
      </c>
      <c r="K7" s="23" t="e">
        <f t="shared" ref="K7:K9" si="2">(L7-N7)/N7</f>
        <v>#DIV/0!</v>
      </c>
    </row>
    <row r="8" spans="1:14">
      <c r="A8" s="7" t="s">
        <v>51</v>
      </c>
      <c r="B8" s="23" t="e">
        <f t="shared" si="0"/>
        <v>#DIV/0!</v>
      </c>
      <c r="C8" s="1">
        <f>SUM(C6:C7)</f>
        <v>0</v>
      </c>
      <c r="D8" s="23" t="e">
        <f t="shared" si="1"/>
        <v>#DIV/0!</v>
      </c>
      <c r="E8" s="1">
        <f>SUM(E6:E7)</f>
        <v>0</v>
      </c>
      <c r="G8" s="1">
        <f>SUM(G6:G7)</f>
        <v>0</v>
      </c>
      <c r="H8" s="3"/>
      <c r="I8" s="3"/>
      <c r="J8" s="1" t="s">
        <v>14</v>
      </c>
      <c r="K8" s="23" t="e">
        <f t="shared" si="2"/>
        <v>#DIV/0!</v>
      </c>
    </row>
    <row r="9" spans="1:14">
      <c r="A9" s="1" t="s">
        <v>1</v>
      </c>
      <c r="B9" s="23" t="e">
        <f t="shared" si="0"/>
        <v>#DIV/0!</v>
      </c>
      <c r="C9" s="2"/>
      <c r="D9" s="23" t="e">
        <f t="shared" si="1"/>
        <v>#DIV/0!</v>
      </c>
      <c r="E9" s="2"/>
      <c r="F9" s="4"/>
      <c r="G9" s="2"/>
      <c r="H9" s="4"/>
      <c r="I9" s="4"/>
      <c r="J9" s="1" t="s">
        <v>39</v>
      </c>
      <c r="K9" s="23" t="e">
        <f t="shared" si="2"/>
        <v>#DIV/0!</v>
      </c>
    </row>
    <row r="10" spans="1:14">
      <c r="A10" s="7" t="s">
        <v>2</v>
      </c>
      <c r="B10" s="23" t="e">
        <f t="shared" si="0"/>
        <v>#DIV/0!</v>
      </c>
      <c r="C10" s="1">
        <f>C8+C9</f>
        <v>0</v>
      </c>
      <c r="D10" s="23" t="e">
        <f t="shared" si="1"/>
        <v>#DIV/0!</v>
      </c>
      <c r="E10" s="1">
        <f>E8+E9</f>
        <v>0</v>
      </c>
      <c r="F10" s="3"/>
      <c r="G10" s="1">
        <f>G8+G9</f>
        <v>0</v>
      </c>
      <c r="H10" s="4"/>
      <c r="I10" s="4"/>
      <c r="J10" s="1" t="s">
        <v>15</v>
      </c>
      <c r="K10" s="23" t="e">
        <f>(L10-N10)/N10</f>
        <v>#DIV/0!</v>
      </c>
    </row>
    <row r="11" spans="1:14">
      <c r="A11" s="1" t="s">
        <v>37</v>
      </c>
      <c r="B11" s="23" t="e">
        <f t="shared" ref="B11:B23" si="3">(C11-E11)/E11</f>
        <v>#DIV/0!</v>
      </c>
      <c r="D11" s="23" t="e">
        <f t="shared" ref="D11:D23" si="4">(E11-G11)/G11</f>
        <v>#DIV/0!</v>
      </c>
      <c r="H11" s="3"/>
      <c r="I11" s="3"/>
      <c r="J11" s="1" t="s">
        <v>16</v>
      </c>
      <c r="K11" s="23" t="e">
        <f>(L11-N11)/N11</f>
        <v>#DIV/0!</v>
      </c>
      <c r="L11" s="2"/>
      <c r="N11" s="2"/>
    </row>
    <row r="12" spans="1:14">
      <c r="A12" s="1" t="s">
        <v>3</v>
      </c>
      <c r="B12" s="23" t="e">
        <f t="shared" si="3"/>
        <v>#DIV/0!</v>
      </c>
      <c r="D12" s="23" t="e">
        <f t="shared" si="4"/>
        <v>#DIV/0!</v>
      </c>
      <c r="F12" s="4"/>
      <c r="H12" s="4"/>
      <c r="I12" s="4"/>
      <c r="K12" s="23" t="e">
        <f>(L12-N12)/N12</f>
        <v>#DIV/0!</v>
      </c>
      <c r="L12" s="9">
        <f>SUM(L6:L11)</f>
        <v>0</v>
      </c>
      <c r="N12" s="9">
        <f>SUM(N6:N11)</f>
        <v>0</v>
      </c>
    </row>
    <row r="13" spans="1:14">
      <c r="A13" s="1" t="s">
        <v>4</v>
      </c>
      <c r="B13" s="23" t="e">
        <f t="shared" si="3"/>
        <v>#DIV/0!</v>
      </c>
      <c r="D13" s="23" t="e">
        <f t="shared" si="4"/>
        <v>#DIV/0!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3"/>
        <v>#DIV/0!</v>
      </c>
      <c r="D14" s="23" t="e">
        <f t="shared" si="4"/>
        <v>#DIV/0!</v>
      </c>
      <c r="H14" s="3"/>
      <c r="I14" s="3"/>
      <c r="J14" s="1" t="s">
        <v>40</v>
      </c>
      <c r="K14" s="23" t="e">
        <f t="shared" ref="K14:K15" si="5">(L14-N14)/N14</f>
        <v>#DIV/0!</v>
      </c>
    </row>
    <row r="15" spans="1:14">
      <c r="A15" s="1" t="s">
        <v>33</v>
      </c>
      <c r="B15" s="23" t="e">
        <f t="shared" si="3"/>
        <v>#DIV/0!</v>
      </c>
      <c r="C15" s="2"/>
      <c r="D15" s="23" t="e">
        <f t="shared" si="4"/>
        <v>#DIV/0!</v>
      </c>
      <c r="E15" s="2"/>
      <c r="F15" s="4"/>
      <c r="G15" s="2"/>
      <c r="H15" s="4"/>
      <c r="I15" s="4"/>
      <c r="J15" s="1" t="s">
        <v>18</v>
      </c>
      <c r="K15" s="23" t="e">
        <f t="shared" si="5"/>
        <v>#DIV/0!</v>
      </c>
    </row>
    <row r="16" spans="1:14">
      <c r="A16" s="7" t="s">
        <v>5</v>
      </c>
      <c r="B16" s="23" t="e">
        <f t="shared" si="3"/>
        <v>#DIV/0!</v>
      </c>
      <c r="C16" s="1">
        <f>SUM(C10:C15)</f>
        <v>0</v>
      </c>
      <c r="D16" s="23" t="e">
        <f t="shared" si="4"/>
        <v>#DIV/0!</v>
      </c>
      <c r="E16" s="1">
        <f>SUM(E10:E15)</f>
        <v>0</v>
      </c>
      <c r="F16" s="3"/>
      <c r="G16" s="1">
        <f>SUM(G10:G15)</f>
        <v>0</v>
      </c>
      <c r="H16" s="3"/>
      <c r="I16" s="3"/>
      <c r="J16" s="1" t="s">
        <v>19</v>
      </c>
      <c r="K16" s="23" t="e">
        <f>(L16-N16)/N16</f>
        <v>#DIV/0!</v>
      </c>
    </row>
    <row r="17" spans="1:14">
      <c r="A17" s="1" t="s">
        <v>6</v>
      </c>
      <c r="B17" s="23" t="e">
        <f t="shared" si="3"/>
        <v>#DIV/0!</v>
      </c>
      <c r="D17" s="23" t="e">
        <f t="shared" si="4"/>
        <v>#DIV/0!</v>
      </c>
      <c r="F17" s="4"/>
      <c r="J17" s="1" t="s">
        <v>53</v>
      </c>
      <c r="K17" s="23" t="e">
        <f>(L17-N17)/N17</f>
        <v>#DIV/0!</v>
      </c>
    </row>
    <row r="18" spans="1:14">
      <c r="A18" s="1" t="s">
        <v>7</v>
      </c>
      <c r="B18" s="23" t="e">
        <f t="shared" si="3"/>
        <v>#DIV/0!</v>
      </c>
      <c r="C18" s="2"/>
      <c r="D18" s="23" t="e">
        <f t="shared" si="4"/>
        <v>#DIV/0!</v>
      </c>
      <c r="E18" s="2"/>
      <c r="F18" s="4"/>
      <c r="G18" s="2"/>
      <c r="J18" s="1" t="s">
        <v>78</v>
      </c>
      <c r="K18" s="23" t="e">
        <f>(L18-N18)/N18</f>
        <v>#DIV/0!</v>
      </c>
    </row>
    <row r="19" spans="1:14">
      <c r="A19" s="7" t="s">
        <v>34</v>
      </c>
      <c r="B19" s="23" t="e">
        <f t="shared" si="3"/>
        <v>#DIV/0!</v>
      </c>
      <c r="C19" s="1">
        <f>SUM(C16:C18)</f>
        <v>0</v>
      </c>
      <c r="D19" s="23" t="e">
        <f t="shared" si="4"/>
        <v>#DIV/0!</v>
      </c>
      <c r="E19" s="1">
        <f>SUM(E16:E18)</f>
        <v>0</v>
      </c>
      <c r="F19" s="3"/>
      <c r="G19" s="1">
        <f>SUM(G16:G18)</f>
        <v>0</v>
      </c>
      <c r="J19" s="1" t="s">
        <v>41</v>
      </c>
      <c r="K19" s="23" t="e">
        <f>(L19-N19)/N19</f>
        <v>#DIV/0!</v>
      </c>
      <c r="L19" s="2"/>
      <c r="N19" s="2"/>
    </row>
    <row r="20" spans="1:14">
      <c r="A20" s="1" t="s">
        <v>8</v>
      </c>
      <c r="B20" s="23" t="e">
        <f t="shared" si="3"/>
        <v>#DIV/0!</v>
      </c>
      <c r="C20" s="2"/>
      <c r="D20" s="23" t="e">
        <f t="shared" si="4"/>
        <v>#DIV/0!</v>
      </c>
      <c r="E20" s="2"/>
      <c r="F20" s="4"/>
      <c r="G20" s="2"/>
      <c r="K20" s="23" t="e">
        <f>(L20-N20)/N20</f>
        <v>#DIV/0!</v>
      </c>
      <c r="L20" s="1">
        <f>SUM(L14:L19)</f>
        <v>0</v>
      </c>
      <c r="N20" s="1">
        <f>SUM(N14:N19)</f>
        <v>0</v>
      </c>
    </row>
    <row r="21" spans="1:14">
      <c r="A21" s="7" t="s">
        <v>35</v>
      </c>
      <c r="B21" s="23" t="e">
        <f t="shared" si="3"/>
        <v>#DIV/0!</v>
      </c>
      <c r="C21" s="9">
        <f>SUM(C19:C20)</f>
        <v>0</v>
      </c>
      <c r="D21" s="23" t="e">
        <f t="shared" si="4"/>
        <v>#DIV/0!</v>
      </c>
      <c r="E21" s="9">
        <f>SUM(E19:E20)</f>
        <v>0</v>
      </c>
      <c r="F21" s="3"/>
      <c r="G21" s="9">
        <f>SUM(G19:G20)</f>
        <v>0</v>
      </c>
    </row>
    <row r="22" spans="1:14" ht="16" thickBot="1">
      <c r="A22" s="1" t="s">
        <v>36</v>
      </c>
      <c r="B22" s="23" t="e">
        <f t="shared" si="3"/>
        <v>#DIV/0!</v>
      </c>
      <c r="D22" s="23" t="e">
        <f t="shared" si="4"/>
        <v>#DIV/0!</v>
      </c>
      <c r="J22" s="10" t="s">
        <v>20</v>
      </c>
      <c r="K22" s="23" t="e">
        <f>(L22-N22)/N22</f>
        <v>#DIV/0!</v>
      </c>
      <c r="L22" s="5">
        <f>L20+L12</f>
        <v>0</v>
      </c>
      <c r="N22" s="5">
        <f>N20+N12</f>
        <v>0</v>
      </c>
    </row>
    <row r="23" spans="1:14" ht="17" thickTop="1" thickBot="1">
      <c r="A23" s="7" t="s">
        <v>9</v>
      </c>
      <c r="B23" s="23" t="e">
        <f t="shared" si="3"/>
        <v>#DIV/0!</v>
      </c>
      <c r="C23" s="5">
        <f>SUM(C21:C22)</f>
        <v>0</v>
      </c>
      <c r="D23" s="23" t="e">
        <f t="shared" si="4"/>
        <v>#DIV/0!</v>
      </c>
      <c r="E23" s="5">
        <f>SUM(E21:E22)</f>
        <v>0</v>
      </c>
      <c r="G23" s="5">
        <f>SUM(G21:G22)</f>
        <v>0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 t="e">
        <f>C10/C6</f>
        <v>#DIV/0!</v>
      </c>
      <c r="E26" s="12" t="e">
        <f>E10/E6</f>
        <v>#DIV/0!</v>
      </c>
      <c r="G26" s="12" t="e">
        <f>G10/G6</f>
        <v>#DIV/0!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 t="e">
        <f>C16/C6</f>
        <v>#DIV/0!</v>
      </c>
      <c r="E27" s="12" t="e">
        <f>E16/E6</f>
        <v>#DIV/0!</v>
      </c>
      <c r="G27" s="12" t="e">
        <f>G16/G6</f>
        <v>#DIV/0!</v>
      </c>
      <c r="J27" s="1" t="s">
        <v>54</v>
      </c>
      <c r="K27" s="23" t="e">
        <f t="shared" ref="K27:K28" si="6">(L27-N27)/N27</f>
        <v>#DIV/0!</v>
      </c>
    </row>
    <row r="28" spans="1:14">
      <c r="A28" s="1" t="s">
        <v>67</v>
      </c>
      <c r="B28" s="19" t="s">
        <v>63</v>
      </c>
      <c r="C28" s="12" t="e">
        <f>C23/C6</f>
        <v>#DIV/0!</v>
      </c>
      <c r="E28" s="12" t="e">
        <f>E23/E6</f>
        <v>#DIV/0!</v>
      </c>
      <c r="G28" s="12" t="e">
        <f>G23/G6</f>
        <v>#DIV/0!</v>
      </c>
      <c r="J28" s="1" t="s">
        <v>22</v>
      </c>
      <c r="K28" s="23" t="e">
        <f t="shared" si="6"/>
        <v>#DIV/0!</v>
      </c>
    </row>
    <row r="29" spans="1:14">
      <c r="A29" s="1" t="s">
        <v>68</v>
      </c>
      <c r="B29" s="19" t="s">
        <v>63</v>
      </c>
      <c r="C29" s="12" t="e">
        <f>C23/L42</f>
        <v>#DIV/0!</v>
      </c>
      <c r="E29" s="12" t="e">
        <f>E23/N42</f>
        <v>#DIV/0!</v>
      </c>
      <c r="G29" s="12"/>
      <c r="J29" s="1" t="s">
        <v>55</v>
      </c>
      <c r="K29" s="23" t="e">
        <f>(L29-N29)/N29</f>
        <v>#DIV/0!</v>
      </c>
    </row>
    <row r="30" spans="1:14">
      <c r="A30" s="1" t="s">
        <v>69</v>
      </c>
      <c r="B30" s="19" t="s">
        <v>63</v>
      </c>
      <c r="C30" s="12" t="e">
        <f>(C16+C18)/(L42+L36)</f>
        <v>#DIV/0!</v>
      </c>
      <c r="E30" s="12" t="e">
        <f>(E16+E18)/(L42+N36)</f>
        <v>#DIV/0!</v>
      </c>
      <c r="G30" s="12"/>
      <c r="J30" s="1" t="s">
        <v>23</v>
      </c>
      <c r="K30" s="23" t="e">
        <f>(L30-N30)/N30</f>
        <v>#DIV/0!</v>
      </c>
    </row>
    <row r="31" spans="1:14">
      <c r="J31" s="1" t="s">
        <v>24</v>
      </c>
      <c r="K31" s="23" t="e">
        <f>(L31-N31)/N31</f>
        <v>#DIV/0!</v>
      </c>
    </row>
    <row r="32" spans="1:14">
      <c r="A32" s="8" t="s">
        <v>31</v>
      </c>
      <c r="B32" s="20"/>
      <c r="J32" s="1" t="s">
        <v>42</v>
      </c>
      <c r="K32" s="23" t="e">
        <f>(L32-N32)/N32</f>
        <v>#DIV/0!</v>
      </c>
      <c r="L32" s="2"/>
      <c r="N32" s="2"/>
    </row>
    <row r="33" spans="1:14">
      <c r="A33" s="1" t="s">
        <v>70</v>
      </c>
      <c r="B33" s="19" t="s">
        <v>71</v>
      </c>
      <c r="C33" s="13" t="e">
        <f>L20/L33</f>
        <v>#DIV/0!</v>
      </c>
      <c r="E33" s="13" t="e">
        <f>N20/N33</f>
        <v>#DIV/0!</v>
      </c>
      <c r="G33" s="13"/>
      <c r="K33" s="23" t="e">
        <f>(L33-N33)/N33</f>
        <v>#DIV/0!</v>
      </c>
      <c r="L33" s="1">
        <f>SUM(L27:L32)</f>
        <v>0</v>
      </c>
      <c r="N33" s="1">
        <f>SUM(N27:N32)</f>
        <v>0</v>
      </c>
    </row>
    <row r="34" spans="1:14">
      <c r="A34" s="1" t="s">
        <v>72</v>
      </c>
      <c r="B34" s="19" t="s">
        <v>71</v>
      </c>
      <c r="C34" s="13" t="e">
        <f>(L20-L14)/L33</f>
        <v>#DIV/0!</v>
      </c>
      <c r="E34" s="13" t="e">
        <f>(N20-N14)/N33</f>
        <v>#DIV/0!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 t="e">
        <f t="shared" ref="K36:K38" si="7">(L36-N36)/N36</f>
        <v>#DIV/0!</v>
      </c>
    </row>
    <row r="37" spans="1:14">
      <c r="A37" s="1" t="s">
        <v>73</v>
      </c>
      <c r="B37" s="19" t="s">
        <v>62</v>
      </c>
      <c r="C37" s="13" t="e">
        <f>C6/L12</f>
        <v>#DIV/0!</v>
      </c>
      <c r="E37" s="13" t="e">
        <f>E6/N12</f>
        <v>#DIV/0!</v>
      </c>
      <c r="G37" s="13"/>
      <c r="J37" s="1" t="s">
        <v>23</v>
      </c>
      <c r="K37" s="23" t="e">
        <f t="shared" si="7"/>
        <v>#DIV/0!</v>
      </c>
    </row>
    <row r="38" spans="1:14">
      <c r="A38" s="1" t="s">
        <v>74</v>
      </c>
      <c r="B38" s="19" t="s">
        <v>75</v>
      </c>
      <c r="C38" s="1" t="e">
        <f>(L14/C9)*365*-1</f>
        <v>#DIV/0!</v>
      </c>
      <c r="E38" s="1" t="e">
        <f>(N14/E9)*365*-1</f>
        <v>#DIV/0!</v>
      </c>
      <c r="J38" s="1" t="s">
        <v>79</v>
      </c>
      <c r="K38" s="23" t="e">
        <f t="shared" si="7"/>
        <v>#DIV/0!</v>
      </c>
    </row>
    <row r="39" spans="1:14">
      <c r="A39" s="1" t="s">
        <v>76</v>
      </c>
      <c r="B39" s="19" t="s">
        <v>62</v>
      </c>
      <c r="C39" s="18" t="e">
        <f>C9/L14*-1</f>
        <v>#DIV/0!</v>
      </c>
      <c r="E39" s="18" t="e">
        <f>E9/N14*-1</f>
        <v>#DIV/0!</v>
      </c>
      <c r="G39" s="18"/>
      <c r="J39" s="1" t="s">
        <v>26</v>
      </c>
      <c r="K39" s="23" t="e">
        <f>(L39-N39)/N39</f>
        <v>#DIV/0!</v>
      </c>
    </row>
    <row r="40" spans="1:14">
      <c r="A40" s="1" t="s">
        <v>43</v>
      </c>
      <c r="B40" s="19" t="s">
        <v>75</v>
      </c>
      <c r="C40" s="18" t="e">
        <f>(L15-(L15*20%))/C6*365</f>
        <v>#DIV/0!</v>
      </c>
      <c r="E40" s="18" t="e">
        <f>(N15-(N15*20%))/E6*365</f>
        <v>#DIV/0!</v>
      </c>
      <c r="G40" s="18"/>
      <c r="J40" s="1" t="s">
        <v>16</v>
      </c>
      <c r="K40" s="23" t="e">
        <f>(L40-N40)/N40</f>
        <v>#DIV/0!</v>
      </c>
      <c r="L40" s="2"/>
      <c r="N40" s="2"/>
    </row>
    <row r="41" spans="1:14">
      <c r="A41" s="1" t="s">
        <v>44</v>
      </c>
      <c r="B41" s="19" t="s">
        <v>75</v>
      </c>
      <c r="C41" s="18" t="e">
        <f>(L28-(L28*20%))/C9*365*-1</f>
        <v>#DIV/0!</v>
      </c>
      <c r="E41" s="18" t="e">
        <f>(N28-(N28*20%))/E9*365*-1</f>
        <v>#DIV/0!</v>
      </c>
      <c r="G41" s="18"/>
      <c r="L41" s="1">
        <f>SUM(L36:L40)</f>
        <v>0</v>
      </c>
      <c r="N41" s="1">
        <f>SUM(N36:N40)</f>
        <v>0</v>
      </c>
    </row>
    <row r="42" spans="1:14">
      <c r="J42" s="1" t="s">
        <v>27</v>
      </c>
      <c r="K42" s="23" t="e">
        <f t="shared" ref="K42:K43" si="8">(L42-N42)/N42</f>
        <v>#DIV/0!</v>
      </c>
    </row>
    <row r="43" spans="1:14" ht="16" thickBot="1">
      <c r="A43" s="8" t="s">
        <v>46</v>
      </c>
      <c r="B43" s="20"/>
      <c r="J43" s="1" t="s">
        <v>28</v>
      </c>
      <c r="K43" s="23" t="e">
        <f t="shared" si="8"/>
        <v>#DIV/0!</v>
      </c>
      <c r="L43" s="5">
        <f>L33+L41+L42</f>
        <v>0</v>
      </c>
      <c r="N43" s="5">
        <f>N33+N41+N42</f>
        <v>0</v>
      </c>
    </row>
    <row r="44" spans="1:14" ht="16" thickTop="1">
      <c r="A44" s="1" t="s">
        <v>91</v>
      </c>
      <c r="B44" s="19" t="s">
        <v>80</v>
      </c>
      <c r="C44" s="15" t="e">
        <f>C23/(L46/1000000)</f>
        <v>#DIV/0!</v>
      </c>
      <c r="E44" s="15" t="e">
        <f>E23/(N46/1000000)</f>
        <v>#DIV/0!</v>
      </c>
      <c r="G44" s="15"/>
    </row>
    <row r="45" spans="1:14">
      <c r="A45" s="1" t="s">
        <v>81</v>
      </c>
      <c r="B45" s="19" t="s">
        <v>62</v>
      </c>
      <c r="C45" s="13" t="e">
        <f>L47/C44</f>
        <v>#DIV/0!</v>
      </c>
      <c r="E45" s="13" t="e">
        <f>N47/E44</f>
        <v>#DIV/0!</v>
      </c>
      <c r="G45" s="13"/>
    </row>
    <row r="46" spans="1:14">
      <c r="A46" s="1" t="s">
        <v>92</v>
      </c>
      <c r="B46" s="19" t="s">
        <v>62</v>
      </c>
      <c r="C46" s="1" t="e">
        <f>C44/L49</f>
        <v>#DIV/0!</v>
      </c>
      <c r="E46" s="1" t="e">
        <f>E44/N49</f>
        <v>#DIV/0!</v>
      </c>
      <c r="J46" s="1" t="s">
        <v>82</v>
      </c>
      <c r="K46" s="23" t="e">
        <f t="shared" ref="K46:K49" si="9">(L46-N46)/N46</f>
        <v>#DIV/0!</v>
      </c>
      <c r="L46" s="2"/>
      <c r="N46" s="2"/>
    </row>
    <row r="47" spans="1:14">
      <c r="A47" s="1" t="s">
        <v>93</v>
      </c>
      <c r="B47" s="19" t="s">
        <v>63</v>
      </c>
      <c r="C47" s="12" t="e">
        <f>L49/L47</f>
        <v>#DIV/0!</v>
      </c>
      <c r="E47" s="12" t="e">
        <f>N49/N47</f>
        <v>#DIV/0!</v>
      </c>
      <c r="G47" s="12"/>
      <c r="J47" s="1" t="s">
        <v>47</v>
      </c>
      <c r="K47" s="23" t="e">
        <f t="shared" si="9"/>
        <v>#DIV/0!</v>
      </c>
      <c r="L47" s="16"/>
      <c r="N47" s="17"/>
    </row>
    <row r="48" spans="1:14">
      <c r="A48" s="1" t="s">
        <v>90</v>
      </c>
      <c r="B48" s="19" t="s">
        <v>64</v>
      </c>
      <c r="C48" s="13" t="e">
        <f>L36/(L42+L36)</f>
        <v>#DIV/0!</v>
      </c>
      <c r="E48" s="13" t="e">
        <f>N36/(N42+N36)</f>
        <v>#DIV/0!</v>
      </c>
      <c r="G48" s="13"/>
      <c r="J48" s="1" t="s">
        <v>48</v>
      </c>
      <c r="K48" s="23" t="e">
        <f t="shared" si="9"/>
        <v>#DIV/0!</v>
      </c>
      <c r="L48" s="2">
        <f>L46*L47</f>
        <v>0</v>
      </c>
      <c r="N48" s="2">
        <f>N46*N47</f>
        <v>0</v>
      </c>
    </row>
    <row r="49" spans="1:14">
      <c r="A49" s="1" t="s">
        <v>94</v>
      </c>
      <c r="B49" s="19" t="s">
        <v>62</v>
      </c>
      <c r="C49" s="13" t="e">
        <f>(C16+C18)/C17*-1</f>
        <v>#DIV/0!</v>
      </c>
      <c r="E49" s="13" t="e">
        <f>(E16+E18)/E17*-1</f>
        <v>#DIV/0!</v>
      </c>
      <c r="G49" s="13" t="e">
        <f>(G16+G18)/G17*-1</f>
        <v>#DIV/0!</v>
      </c>
      <c r="J49" s="1" t="s">
        <v>57</v>
      </c>
      <c r="K49" s="23" t="e">
        <f t="shared" si="9"/>
        <v>#DIV/0!</v>
      </c>
      <c r="L49" s="16"/>
      <c r="N49" s="16"/>
    </row>
    <row r="51" spans="1:14">
      <c r="A51" s="8" t="s">
        <v>32</v>
      </c>
      <c r="B51" s="20"/>
    </row>
    <row r="52" spans="1:14">
      <c r="A52" s="1" t="s">
        <v>107</v>
      </c>
      <c r="B52" s="19" t="s">
        <v>63</v>
      </c>
      <c r="C52" s="12" t="e">
        <f>C20/C19</f>
        <v>#DIV/0!</v>
      </c>
      <c r="E52" s="12" t="e">
        <f>E20/E19</f>
        <v>#DIV/0!</v>
      </c>
      <c r="G52" s="12" t="e">
        <f>G20/G19</f>
        <v>#DIV/0!</v>
      </c>
    </row>
    <row r="53" spans="1:14">
      <c r="A53" s="1" t="s">
        <v>108</v>
      </c>
      <c r="B53" s="19" t="s">
        <v>63</v>
      </c>
      <c r="C53" s="12" t="e">
        <f>C12/C6</f>
        <v>#DIV/0!</v>
      </c>
      <c r="E53" s="12" t="e">
        <f>E12/E6</f>
        <v>#DIV/0!</v>
      </c>
      <c r="G53" s="12" t="e">
        <f>G12/G6</f>
        <v>#DIV/0!</v>
      </c>
    </row>
    <row r="54" spans="1:14">
      <c r="A54" s="1" t="s">
        <v>109</v>
      </c>
      <c r="B54" s="19" t="s">
        <v>63</v>
      </c>
      <c r="C54" s="12" t="e">
        <f>(L6+L7)/L22</f>
        <v>#DIV/0!</v>
      </c>
      <c r="E54" s="12" t="e">
        <f>(N6+N7)/N22</f>
        <v>#DIV/0!</v>
      </c>
    </row>
    <row r="55" spans="1:14">
      <c r="A55" s="1" t="s">
        <v>110</v>
      </c>
      <c r="B55" s="19" t="s">
        <v>63</v>
      </c>
      <c r="C55" s="12" t="e">
        <f>(L6+L7)/L42</f>
        <v>#DIV/0!</v>
      </c>
      <c r="E55" s="12" t="e">
        <f>(N6+N7)/N42</f>
        <v>#DIV/0!</v>
      </c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"/>
  <sheetViews>
    <sheetView tabSelected="1" workbookViewId="0">
      <selection activeCell="D34" sqref="D34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60</v>
      </c>
      <c r="B2" s="19" t="s">
        <v>58</v>
      </c>
      <c r="D2" s="19" t="s">
        <v>58</v>
      </c>
      <c r="K2" s="19" t="s">
        <v>58</v>
      </c>
    </row>
    <row r="3" spans="1:14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49</v>
      </c>
      <c r="B6" s="23" t="e">
        <f>(C6-E6)/E6</f>
        <v>#DIV/0!</v>
      </c>
      <c r="D6" s="23" t="e">
        <f>(E6-G6)/G6</f>
        <v>#DIV/0!</v>
      </c>
      <c r="F6" s="4"/>
      <c r="H6" s="4"/>
      <c r="I6" s="4"/>
      <c r="J6" s="1" t="s">
        <v>38</v>
      </c>
      <c r="K6" s="23" t="e">
        <f>(L6-N6)/N6</f>
        <v>#DIV/0!</v>
      </c>
    </row>
    <row r="7" spans="1:14">
      <c r="A7" s="1" t="s">
        <v>50</v>
      </c>
      <c r="B7" s="23" t="e">
        <f t="shared" ref="B7:B23" si="0">(C7-E7)/E7</f>
        <v>#DIV/0!</v>
      </c>
      <c r="C7" s="2"/>
      <c r="D7" s="23" t="e">
        <f t="shared" ref="D7:D23" si="1">(E7-G7)/G7</f>
        <v>#DIV/0!</v>
      </c>
      <c r="E7" s="2"/>
      <c r="G7" s="2"/>
      <c r="H7" s="4"/>
      <c r="I7" s="4"/>
      <c r="J7" s="1" t="s">
        <v>13</v>
      </c>
      <c r="K7" s="23" t="e">
        <f t="shared" ref="K7:K9" si="2">(L7-N7)/N7</f>
        <v>#DIV/0!</v>
      </c>
    </row>
    <row r="8" spans="1:14">
      <c r="A8" s="7" t="s">
        <v>51</v>
      </c>
      <c r="B8" s="23" t="e">
        <f t="shared" si="0"/>
        <v>#DIV/0!</v>
      </c>
      <c r="C8" s="1">
        <f>SUM(C6:C7)</f>
        <v>0</v>
      </c>
      <c r="D8" s="23" t="e">
        <f t="shared" si="1"/>
        <v>#DIV/0!</v>
      </c>
      <c r="E8" s="1">
        <f>SUM(E6:E7)</f>
        <v>0</v>
      </c>
      <c r="G8" s="1">
        <f>SUM(G6:G7)</f>
        <v>0</v>
      </c>
      <c r="H8" s="3"/>
      <c r="I8" s="3"/>
      <c r="J8" s="1" t="s">
        <v>14</v>
      </c>
      <c r="K8" s="23" t="e">
        <f t="shared" si="2"/>
        <v>#DIV/0!</v>
      </c>
    </row>
    <row r="9" spans="1:14">
      <c r="A9" s="1" t="s">
        <v>1</v>
      </c>
      <c r="B9" s="23" t="e">
        <f t="shared" si="0"/>
        <v>#DIV/0!</v>
      </c>
      <c r="C9" s="2"/>
      <c r="D9" s="23" t="e">
        <f t="shared" si="1"/>
        <v>#DIV/0!</v>
      </c>
      <c r="E9" s="2"/>
      <c r="F9" s="4"/>
      <c r="G9" s="2"/>
      <c r="H9" s="4"/>
      <c r="I9" s="4"/>
      <c r="J9" s="1" t="s">
        <v>39</v>
      </c>
      <c r="K9" s="23" t="e">
        <f t="shared" si="2"/>
        <v>#DIV/0!</v>
      </c>
    </row>
    <row r="10" spans="1:14">
      <c r="A10" s="7" t="s">
        <v>2</v>
      </c>
      <c r="B10" s="23" t="e">
        <f t="shared" si="0"/>
        <v>#DIV/0!</v>
      </c>
      <c r="C10" s="1">
        <f>C8+C9</f>
        <v>0</v>
      </c>
      <c r="D10" s="23" t="e">
        <f t="shared" si="1"/>
        <v>#DIV/0!</v>
      </c>
      <c r="E10" s="1">
        <f>E8+E9</f>
        <v>0</v>
      </c>
      <c r="F10" s="3"/>
      <c r="G10" s="1">
        <f>G8+G9</f>
        <v>0</v>
      </c>
      <c r="H10" s="4"/>
      <c r="I10" s="4"/>
      <c r="J10" s="1" t="s">
        <v>15</v>
      </c>
      <c r="K10" s="23" t="e">
        <f>(L10-N10)/N10</f>
        <v>#DIV/0!</v>
      </c>
    </row>
    <row r="11" spans="1:14">
      <c r="A11" s="1" t="s">
        <v>37</v>
      </c>
      <c r="B11" s="23" t="e">
        <f t="shared" si="0"/>
        <v>#DIV/0!</v>
      </c>
      <c r="D11" s="23" t="e">
        <f t="shared" si="1"/>
        <v>#DIV/0!</v>
      </c>
      <c r="H11" s="3"/>
      <c r="I11" s="3"/>
      <c r="J11" s="1" t="s">
        <v>16</v>
      </c>
      <c r="K11" s="23" t="e">
        <f>(L11-N11)/N11</f>
        <v>#DIV/0!</v>
      </c>
      <c r="L11" s="2"/>
      <c r="N11" s="2"/>
    </row>
    <row r="12" spans="1:14">
      <c r="A12" s="1" t="s">
        <v>3</v>
      </c>
      <c r="B12" s="23" t="e">
        <f t="shared" si="0"/>
        <v>#DIV/0!</v>
      </c>
      <c r="D12" s="23" t="e">
        <f t="shared" si="1"/>
        <v>#DIV/0!</v>
      </c>
      <c r="F12" s="4"/>
      <c r="H12" s="4"/>
      <c r="I12" s="4"/>
      <c r="K12" s="23" t="e">
        <f>(L12-N12)/N12</f>
        <v>#DIV/0!</v>
      </c>
      <c r="L12" s="9">
        <f>SUM(L6:L11)</f>
        <v>0</v>
      </c>
      <c r="N12" s="9">
        <f>SUM(N6:N11)</f>
        <v>0</v>
      </c>
    </row>
    <row r="13" spans="1:14">
      <c r="A13" s="1" t="s">
        <v>4</v>
      </c>
      <c r="B13" s="23" t="e">
        <f t="shared" si="0"/>
        <v>#DIV/0!</v>
      </c>
      <c r="D13" s="23" t="e">
        <f t="shared" si="1"/>
        <v>#DIV/0!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0"/>
        <v>#DIV/0!</v>
      </c>
      <c r="D14" s="23" t="e">
        <f t="shared" si="1"/>
        <v>#DIV/0!</v>
      </c>
      <c r="H14" s="3"/>
      <c r="I14" s="3"/>
      <c r="J14" s="1" t="s">
        <v>40</v>
      </c>
      <c r="K14" s="23" t="e">
        <f t="shared" ref="K14:K15" si="3">(L14-N14)/N14</f>
        <v>#DIV/0!</v>
      </c>
    </row>
    <row r="15" spans="1:14">
      <c r="A15" s="1" t="s">
        <v>33</v>
      </c>
      <c r="B15" s="23" t="e">
        <f t="shared" si="0"/>
        <v>#DIV/0!</v>
      </c>
      <c r="C15" s="2"/>
      <c r="D15" s="23" t="e">
        <f t="shared" si="1"/>
        <v>#DIV/0!</v>
      </c>
      <c r="E15" s="2"/>
      <c r="F15" s="4"/>
      <c r="G15" s="2"/>
      <c r="H15" s="4"/>
      <c r="I15" s="4"/>
      <c r="J15" s="1" t="s">
        <v>18</v>
      </c>
      <c r="K15" s="23" t="e">
        <f t="shared" si="3"/>
        <v>#DIV/0!</v>
      </c>
    </row>
    <row r="16" spans="1:14">
      <c r="A16" s="7" t="s">
        <v>5</v>
      </c>
      <c r="B16" s="23" t="e">
        <f t="shared" si="0"/>
        <v>#DIV/0!</v>
      </c>
      <c r="C16" s="1">
        <f>SUM(C10:C15)</f>
        <v>0</v>
      </c>
      <c r="D16" s="23" t="e">
        <f t="shared" si="1"/>
        <v>#DIV/0!</v>
      </c>
      <c r="E16" s="1">
        <f>SUM(E10:E15)</f>
        <v>0</v>
      </c>
      <c r="F16" s="3"/>
      <c r="G16" s="1">
        <f>SUM(G10:G15)</f>
        <v>0</v>
      </c>
      <c r="H16" s="3"/>
      <c r="I16" s="3"/>
      <c r="J16" s="1" t="s">
        <v>19</v>
      </c>
      <c r="K16" s="23" t="e">
        <f>(L16-N16)/N16</f>
        <v>#DIV/0!</v>
      </c>
    </row>
    <row r="17" spans="1:14">
      <c r="A17" s="1" t="s">
        <v>6</v>
      </c>
      <c r="B17" s="23" t="e">
        <f t="shared" si="0"/>
        <v>#DIV/0!</v>
      </c>
      <c r="D17" s="23" t="e">
        <f t="shared" si="1"/>
        <v>#DIV/0!</v>
      </c>
      <c r="F17" s="4"/>
      <c r="J17" s="1" t="s">
        <v>53</v>
      </c>
      <c r="K17" s="23" t="e">
        <f>(L17-N17)/N17</f>
        <v>#DIV/0!</v>
      </c>
    </row>
    <row r="18" spans="1:14">
      <c r="A18" s="1" t="s">
        <v>7</v>
      </c>
      <c r="B18" s="23" t="e">
        <f t="shared" si="0"/>
        <v>#DIV/0!</v>
      </c>
      <c r="C18" s="2"/>
      <c r="D18" s="23" t="e">
        <f t="shared" si="1"/>
        <v>#DIV/0!</v>
      </c>
      <c r="E18" s="2"/>
      <c r="F18" s="4"/>
      <c r="G18" s="2"/>
      <c r="J18" s="1" t="s">
        <v>78</v>
      </c>
      <c r="K18" s="23" t="e">
        <f>(L18-N18)/N18</f>
        <v>#DIV/0!</v>
      </c>
    </row>
    <row r="19" spans="1:14">
      <c r="A19" s="7" t="s">
        <v>34</v>
      </c>
      <c r="B19" s="23" t="e">
        <f t="shared" si="0"/>
        <v>#DIV/0!</v>
      </c>
      <c r="C19" s="1">
        <f>SUM(C16:C18)</f>
        <v>0</v>
      </c>
      <c r="D19" s="23" t="e">
        <f t="shared" si="1"/>
        <v>#DIV/0!</v>
      </c>
      <c r="E19" s="1">
        <f>SUM(E16:E18)</f>
        <v>0</v>
      </c>
      <c r="F19" s="3"/>
      <c r="G19" s="1">
        <f>SUM(G16:G18)</f>
        <v>0</v>
      </c>
      <c r="J19" s="1" t="s">
        <v>41</v>
      </c>
      <c r="K19" s="23" t="e">
        <f>(L19-N19)/N19</f>
        <v>#DIV/0!</v>
      </c>
      <c r="L19" s="2"/>
      <c r="N19" s="2"/>
    </row>
    <row r="20" spans="1:14">
      <c r="A20" s="1" t="s">
        <v>8</v>
      </c>
      <c r="B20" s="23" t="e">
        <f t="shared" si="0"/>
        <v>#DIV/0!</v>
      </c>
      <c r="C20" s="2"/>
      <c r="D20" s="23" t="e">
        <f t="shared" si="1"/>
        <v>#DIV/0!</v>
      </c>
      <c r="E20" s="2"/>
      <c r="F20" s="4"/>
      <c r="G20" s="2"/>
      <c r="K20" s="23" t="e">
        <f>(L20-N20)/N20</f>
        <v>#DIV/0!</v>
      </c>
      <c r="L20" s="1">
        <f>SUM(L14:L19)</f>
        <v>0</v>
      </c>
      <c r="N20" s="1">
        <f>SUM(N14:N19)</f>
        <v>0</v>
      </c>
    </row>
    <row r="21" spans="1:14">
      <c r="A21" s="7" t="s">
        <v>35</v>
      </c>
      <c r="B21" s="23" t="e">
        <f t="shared" si="0"/>
        <v>#DIV/0!</v>
      </c>
      <c r="C21" s="9">
        <f>SUM(C19:C20)</f>
        <v>0</v>
      </c>
      <c r="D21" s="23" t="e">
        <f t="shared" si="1"/>
        <v>#DIV/0!</v>
      </c>
      <c r="E21" s="9">
        <f>SUM(E19:E20)</f>
        <v>0</v>
      </c>
      <c r="F21" s="3"/>
      <c r="G21" s="9">
        <f>SUM(G19:G20)</f>
        <v>0</v>
      </c>
    </row>
    <row r="22" spans="1:14" ht="16" thickBot="1">
      <c r="A22" s="1" t="s">
        <v>36</v>
      </c>
      <c r="B22" s="23" t="e">
        <f t="shared" si="0"/>
        <v>#DIV/0!</v>
      </c>
      <c r="D22" s="23" t="e">
        <f t="shared" si="1"/>
        <v>#DIV/0!</v>
      </c>
      <c r="J22" s="10" t="s">
        <v>20</v>
      </c>
      <c r="K22" s="23" t="e">
        <f>(L22-N22)/N22</f>
        <v>#DIV/0!</v>
      </c>
      <c r="L22" s="5">
        <f>L20+L12</f>
        <v>0</v>
      </c>
      <c r="N22" s="5">
        <f>N20+N12</f>
        <v>0</v>
      </c>
    </row>
    <row r="23" spans="1:14" ht="17" thickTop="1" thickBot="1">
      <c r="A23" s="7" t="s">
        <v>9</v>
      </c>
      <c r="B23" s="23" t="e">
        <f t="shared" si="0"/>
        <v>#DIV/0!</v>
      </c>
      <c r="C23" s="5">
        <f>SUM(C21:C22)</f>
        <v>0</v>
      </c>
      <c r="D23" s="23" t="e">
        <f t="shared" si="1"/>
        <v>#DIV/0!</v>
      </c>
      <c r="E23" s="5">
        <f>SUM(E21:E22)</f>
        <v>0</v>
      </c>
      <c r="G23" s="5">
        <f>SUM(G21:G22)</f>
        <v>0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 t="e">
        <f>C10/C6</f>
        <v>#DIV/0!</v>
      </c>
      <c r="E26" s="12" t="e">
        <f>E10/E6</f>
        <v>#DIV/0!</v>
      </c>
      <c r="G26" s="12" t="e">
        <f>G10/G6</f>
        <v>#DIV/0!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 t="e">
        <f>C16/C6</f>
        <v>#DIV/0!</v>
      </c>
      <c r="E27" s="12" t="e">
        <f>E16/E6</f>
        <v>#DIV/0!</v>
      </c>
      <c r="G27" s="12" t="e">
        <f>G16/G6</f>
        <v>#DIV/0!</v>
      </c>
      <c r="J27" s="1" t="s">
        <v>54</v>
      </c>
      <c r="K27" s="23" t="e">
        <f t="shared" ref="K27:K28" si="4">(L27-N27)/N27</f>
        <v>#DIV/0!</v>
      </c>
    </row>
    <row r="28" spans="1:14">
      <c r="A28" s="1" t="s">
        <v>67</v>
      </c>
      <c r="B28" s="19" t="s">
        <v>63</v>
      </c>
      <c r="C28" s="12" t="e">
        <f>C23/C6</f>
        <v>#DIV/0!</v>
      </c>
      <c r="E28" s="12" t="e">
        <f>E23/E6</f>
        <v>#DIV/0!</v>
      </c>
      <c r="G28" s="12" t="e">
        <f>G23/G6</f>
        <v>#DIV/0!</v>
      </c>
      <c r="J28" s="1" t="s">
        <v>22</v>
      </c>
      <c r="K28" s="23" t="e">
        <f t="shared" si="4"/>
        <v>#DIV/0!</v>
      </c>
    </row>
    <row r="29" spans="1:14">
      <c r="A29" s="1" t="s">
        <v>68</v>
      </c>
      <c r="B29" s="19" t="s">
        <v>63</v>
      </c>
      <c r="C29" s="12" t="e">
        <f>C23/L42</f>
        <v>#DIV/0!</v>
      </c>
      <c r="E29" s="12" t="e">
        <f>E23/N42</f>
        <v>#DIV/0!</v>
      </c>
      <c r="G29" s="12"/>
      <c r="J29" s="1" t="s">
        <v>55</v>
      </c>
      <c r="K29" s="23" t="e">
        <f>(L29-N29)/N29</f>
        <v>#DIV/0!</v>
      </c>
    </row>
    <row r="30" spans="1:14">
      <c r="A30" s="1" t="s">
        <v>69</v>
      </c>
      <c r="B30" s="19" t="s">
        <v>63</v>
      </c>
      <c r="C30" s="12" t="e">
        <f>(C16+C18)/(L42+L36)</f>
        <v>#DIV/0!</v>
      </c>
      <c r="E30" s="12" t="e">
        <f>(E16+E18)/(L42+N36)</f>
        <v>#DIV/0!</v>
      </c>
      <c r="G30" s="12"/>
      <c r="J30" s="1" t="s">
        <v>23</v>
      </c>
      <c r="K30" s="23" t="e">
        <f>(L30-N30)/N30</f>
        <v>#DIV/0!</v>
      </c>
    </row>
    <row r="31" spans="1:14">
      <c r="J31" s="1" t="s">
        <v>24</v>
      </c>
      <c r="K31" s="23" t="e">
        <f>(L31-N31)/N31</f>
        <v>#DIV/0!</v>
      </c>
    </row>
    <row r="32" spans="1:14">
      <c r="A32" s="8" t="s">
        <v>31</v>
      </c>
      <c r="B32" s="20"/>
      <c r="J32" s="1" t="s">
        <v>42</v>
      </c>
      <c r="K32" s="23" t="e">
        <f>(L32-N32)/N32</f>
        <v>#DIV/0!</v>
      </c>
      <c r="L32" s="2"/>
      <c r="N32" s="2"/>
    </row>
    <row r="33" spans="1:14">
      <c r="A33" s="1" t="s">
        <v>70</v>
      </c>
      <c r="B33" s="19" t="s">
        <v>71</v>
      </c>
      <c r="C33" s="13" t="e">
        <f>L20/L33</f>
        <v>#DIV/0!</v>
      </c>
      <c r="E33" s="13" t="e">
        <f>N20/N33</f>
        <v>#DIV/0!</v>
      </c>
      <c r="G33" s="13"/>
      <c r="K33" s="23" t="e">
        <f>(L33-N33)/N33</f>
        <v>#DIV/0!</v>
      </c>
      <c r="L33" s="1">
        <f>SUM(L27:L32)</f>
        <v>0</v>
      </c>
      <c r="N33" s="1">
        <f>SUM(N27:N32)</f>
        <v>0</v>
      </c>
    </row>
    <row r="34" spans="1:14">
      <c r="A34" s="1" t="s">
        <v>72</v>
      </c>
      <c r="B34" s="19" t="s">
        <v>71</v>
      </c>
      <c r="C34" s="13" t="e">
        <f>(L20-L14)/L33</f>
        <v>#DIV/0!</v>
      </c>
      <c r="E34" s="13" t="e">
        <f>(N20-N14)/N33</f>
        <v>#DIV/0!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 t="e">
        <f t="shared" ref="K36:K38" si="5">(L36-N36)/N36</f>
        <v>#DIV/0!</v>
      </c>
    </row>
    <row r="37" spans="1:14">
      <c r="A37" s="1" t="s">
        <v>73</v>
      </c>
      <c r="B37" s="19" t="s">
        <v>62</v>
      </c>
      <c r="C37" s="13" t="e">
        <f>C6/L12</f>
        <v>#DIV/0!</v>
      </c>
      <c r="E37" s="13" t="e">
        <f>E6/N12</f>
        <v>#DIV/0!</v>
      </c>
      <c r="G37" s="13"/>
      <c r="J37" s="1" t="s">
        <v>23</v>
      </c>
      <c r="K37" s="23" t="e">
        <f t="shared" si="5"/>
        <v>#DIV/0!</v>
      </c>
    </row>
    <row r="38" spans="1:14">
      <c r="A38" s="1" t="s">
        <v>74</v>
      </c>
      <c r="B38" s="19" t="s">
        <v>75</v>
      </c>
      <c r="C38" s="1" t="e">
        <f>(L14/C9)*365*-1</f>
        <v>#DIV/0!</v>
      </c>
      <c r="E38" s="1" t="e">
        <f>(N14/E9)*365*-1</f>
        <v>#DIV/0!</v>
      </c>
      <c r="J38" s="1" t="s">
        <v>79</v>
      </c>
      <c r="K38" s="23" t="e">
        <f t="shared" si="5"/>
        <v>#DIV/0!</v>
      </c>
    </row>
    <row r="39" spans="1:14">
      <c r="A39" s="1" t="s">
        <v>76</v>
      </c>
      <c r="B39" s="19" t="s">
        <v>62</v>
      </c>
      <c r="C39" s="18" t="e">
        <f>C9/L14*-1</f>
        <v>#DIV/0!</v>
      </c>
      <c r="E39" s="18" t="e">
        <f>E9/N14*-1</f>
        <v>#DIV/0!</v>
      </c>
      <c r="G39" s="18"/>
      <c r="J39" s="1" t="s">
        <v>26</v>
      </c>
      <c r="K39" s="23" t="e">
        <f>(L39-N39)/N39</f>
        <v>#DIV/0!</v>
      </c>
    </row>
    <row r="40" spans="1:14">
      <c r="A40" s="1" t="s">
        <v>43</v>
      </c>
      <c r="B40" s="19" t="s">
        <v>75</v>
      </c>
      <c r="C40" s="18" t="e">
        <f>(L15-(L15*20%))/C6*365</f>
        <v>#DIV/0!</v>
      </c>
      <c r="E40" s="18" t="e">
        <f>(N15-(N15*20%))/E6*365</f>
        <v>#DIV/0!</v>
      </c>
      <c r="G40" s="18"/>
      <c r="J40" s="1" t="s">
        <v>16</v>
      </c>
      <c r="K40" s="23" t="e">
        <f>(L40-N40)/N40</f>
        <v>#DIV/0!</v>
      </c>
      <c r="L40" s="2"/>
      <c r="N40" s="2"/>
    </row>
    <row r="41" spans="1:14">
      <c r="A41" s="1" t="s">
        <v>44</v>
      </c>
      <c r="B41" s="19" t="s">
        <v>75</v>
      </c>
      <c r="C41" s="18" t="e">
        <f>(L28-(L28*20%))/C9*365*-1</f>
        <v>#DIV/0!</v>
      </c>
      <c r="E41" s="18" t="e">
        <f>(N28-(N28*20%))/E9*365*-1</f>
        <v>#DIV/0!</v>
      </c>
      <c r="G41" s="18"/>
      <c r="L41" s="1">
        <f>SUM(L36:L40)</f>
        <v>0</v>
      </c>
      <c r="N41" s="1">
        <f>SUM(N36:N40)</f>
        <v>0</v>
      </c>
    </row>
    <row r="42" spans="1:14">
      <c r="J42" s="1" t="s">
        <v>27</v>
      </c>
      <c r="K42" s="23" t="e">
        <f t="shared" ref="K42:K43" si="6">(L42-N42)/N42</f>
        <v>#DIV/0!</v>
      </c>
    </row>
    <row r="43" spans="1:14" ht="16" thickBot="1">
      <c r="A43" s="8" t="s">
        <v>46</v>
      </c>
      <c r="B43" s="20"/>
      <c r="J43" s="1" t="s">
        <v>28</v>
      </c>
      <c r="K43" s="23" t="e">
        <f t="shared" si="6"/>
        <v>#DIV/0!</v>
      </c>
      <c r="L43" s="5">
        <f>L33+L41+L42</f>
        <v>0</v>
      </c>
      <c r="N43" s="5">
        <f>N33+N41+N42</f>
        <v>0</v>
      </c>
    </row>
    <row r="44" spans="1:14" ht="16" thickTop="1">
      <c r="A44" s="1" t="s">
        <v>91</v>
      </c>
      <c r="B44" s="19" t="s">
        <v>80</v>
      </c>
      <c r="C44" s="15" t="e">
        <f>C23/(L46/1000000)</f>
        <v>#DIV/0!</v>
      </c>
      <c r="E44" s="15" t="e">
        <f>E23/(N46/1000000)</f>
        <v>#DIV/0!</v>
      </c>
      <c r="G44" s="15"/>
    </row>
    <row r="45" spans="1:14">
      <c r="A45" s="1" t="s">
        <v>81</v>
      </c>
      <c r="B45" s="19" t="s">
        <v>62</v>
      </c>
      <c r="C45" s="13" t="e">
        <f>L47/C44</f>
        <v>#DIV/0!</v>
      </c>
      <c r="E45" s="13" t="e">
        <f>N47/E44</f>
        <v>#DIV/0!</v>
      </c>
      <c r="G45" s="13"/>
    </row>
    <row r="46" spans="1:14">
      <c r="A46" s="1" t="s">
        <v>92</v>
      </c>
      <c r="B46" s="19" t="s">
        <v>62</v>
      </c>
      <c r="C46" s="1" t="e">
        <f>C44/L49</f>
        <v>#DIV/0!</v>
      </c>
      <c r="E46" s="1" t="e">
        <f>E44/N49</f>
        <v>#DIV/0!</v>
      </c>
      <c r="J46" s="1" t="s">
        <v>82</v>
      </c>
      <c r="K46" s="23" t="e">
        <f t="shared" ref="K46:K49" si="7">(L46-N46)/N46</f>
        <v>#DIV/0!</v>
      </c>
      <c r="L46" s="2"/>
      <c r="N46" s="2"/>
    </row>
    <row r="47" spans="1:14">
      <c r="A47" s="1" t="s">
        <v>93</v>
      </c>
      <c r="B47" s="19" t="s">
        <v>63</v>
      </c>
      <c r="C47" s="12" t="e">
        <f>L49/L47</f>
        <v>#DIV/0!</v>
      </c>
      <c r="E47" s="12" t="e">
        <f>N49/N47</f>
        <v>#DIV/0!</v>
      </c>
      <c r="G47" s="12"/>
      <c r="J47" s="1" t="s">
        <v>47</v>
      </c>
      <c r="K47" s="23" t="e">
        <f t="shared" si="7"/>
        <v>#DIV/0!</v>
      </c>
      <c r="L47" s="16"/>
      <c r="N47" s="17"/>
    </row>
    <row r="48" spans="1:14">
      <c r="A48" s="1" t="s">
        <v>90</v>
      </c>
      <c r="B48" s="19" t="s">
        <v>64</v>
      </c>
      <c r="C48" s="13" t="e">
        <f>L36/(L42+L36)</f>
        <v>#DIV/0!</v>
      </c>
      <c r="E48" s="13" t="e">
        <f>N36/(N42+N36)</f>
        <v>#DIV/0!</v>
      </c>
      <c r="G48" s="13"/>
      <c r="J48" s="1" t="s">
        <v>48</v>
      </c>
      <c r="K48" s="23" t="e">
        <f t="shared" si="7"/>
        <v>#DIV/0!</v>
      </c>
      <c r="L48" s="2">
        <f>L46*L47</f>
        <v>0</v>
      </c>
      <c r="N48" s="2">
        <f>N46*N47</f>
        <v>0</v>
      </c>
    </row>
    <row r="49" spans="1:14">
      <c r="A49" s="1" t="s">
        <v>94</v>
      </c>
      <c r="B49" s="19" t="s">
        <v>62</v>
      </c>
      <c r="C49" s="13" t="e">
        <f>(C16+C18)/C17*-1</f>
        <v>#DIV/0!</v>
      </c>
      <c r="E49" s="13" t="e">
        <f>(E16+E18)/E17*-1</f>
        <v>#DIV/0!</v>
      </c>
      <c r="G49" s="13" t="e">
        <f>(G16+G18)/G17*-1</f>
        <v>#DIV/0!</v>
      </c>
      <c r="J49" s="1" t="s">
        <v>57</v>
      </c>
      <c r="K49" s="23" t="e">
        <f t="shared" si="7"/>
        <v>#DIV/0!</v>
      </c>
      <c r="L49" s="16"/>
      <c r="N49" s="16"/>
    </row>
    <row r="51" spans="1:14">
      <c r="A51" s="8" t="s">
        <v>32</v>
      </c>
      <c r="B51" s="20"/>
    </row>
    <row r="52" spans="1:14">
      <c r="A52" s="1" t="s">
        <v>107</v>
      </c>
      <c r="B52" s="19" t="s">
        <v>63</v>
      </c>
      <c r="C52" s="12" t="e">
        <f>C20/C19</f>
        <v>#DIV/0!</v>
      </c>
      <c r="E52" s="12" t="e">
        <f>E20/E19</f>
        <v>#DIV/0!</v>
      </c>
      <c r="G52" s="12" t="e">
        <f>G20/G19</f>
        <v>#DIV/0!</v>
      </c>
    </row>
    <row r="53" spans="1:14">
      <c r="A53" s="1" t="s">
        <v>108</v>
      </c>
      <c r="B53" s="19" t="s">
        <v>63</v>
      </c>
      <c r="C53" s="12" t="e">
        <f>C12/C6</f>
        <v>#DIV/0!</v>
      </c>
      <c r="E53" s="12" t="e">
        <f>E12/E6</f>
        <v>#DIV/0!</v>
      </c>
      <c r="G53" s="12" t="e">
        <f>G12/G6</f>
        <v>#DIV/0!</v>
      </c>
    </row>
    <row r="54" spans="1:14">
      <c r="A54" s="1" t="s">
        <v>109</v>
      </c>
      <c r="B54" s="19" t="s">
        <v>63</v>
      </c>
      <c r="C54" s="12" t="e">
        <f>(L6+L7)/L22</f>
        <v>#DIV/0!</v>
      </c>
      <c r="E54" s="12" t="e">
        <f>(N6+N7)/N22</f>
        <v>#DIV/0!</v>
      </c>
    </row>
    <row r="55" spans="1:14">
      <c r="A55" s="1" t="s">
        <v>110</v>
      </c>
      <c r="B55" s="19" t="s">
        <v>63</v>
      </c>
      <c r="C55" s="12" t="e">
        <f>(L6+L7)/L42</f>
        <v>#DIV/0!</v>
      </c>
      <c r="E55" s="12" t="e">
        <f>(N6+N7)/N42</f>
        <v>#DIV/0!</v>
      </c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&amp;L&amp;"Calibri,Regular"&amp;K000000Session 3 SM 2 RA2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25"/>
  <sheetViews>
    <sheetView zoomScale="125" zoomScaleNormal="125" zoomScalePageLayoutView="125" workbookViewId="0">
      <selection activeCell="C26" sqref="C26:C55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7.6640625" style="1" customWidth="1"/>
    <col min="13" max="13" width="5" style="1" customWidth="1"/>
    <col min="14" max="14" width="16.83203125" style="1" customWidth="1"/>
    <col min="15" max="16" width="10.83203125" style="1"/>
    <col min="17" max="17" width="17.5" style="1" customWidth="1"/>
    <col min="18" max="16384" width="10.83203125" style="1"/>
  </cols>
  <sheetData>
    <row r="1" spans="1:20">
      <c r="A1" s="1" t="s">
        <v>29</v>
      </c>
    </row>
    <row r="2" spans="1:20">
      <c r="A2" s="1" t="s">
        <v>102</v>
      </c>
      <c r="B2" s="19" t="s">
        <v>58</v>
      </c>
      <c r="D2" s="19" t="s">
        <v>58</v>
      </c>
      <c r="K2" s="19" t="s">
        <v>58</v>
      </c>
      <c r="L2" s="24" t="s">
        <v>99</v>
      </c>
      <c r="N2" s="24" t="s">
        <v>99</v>
      </c>
      <c r="R2" s="26">
        <v>2016</v>
      </c>
      <c r="S2" s="26"/>
      <c r="T2" s="26"/>
    </row>
    <row r="3" spans="1:20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  <c r="R3" s="4" t="s">
        <v>112</v>
      </c>
      <c r="S3" s="4" t="s">
        <v>113</v>
      </c>
      <c r="T3" s="4" t="s">
        <v>114</v>
      </c>
    </row>
    <row r="4" spans="1:20">
      <c r="A4" s="6" t="s">
        <v>0</v>
      </c>
      <c r="B4" s="20"/>
      <c r="J4" s="6" t="s">
        <v>11</v>
      </c>
      <c r="K4" s="20"/>
      <c r="L4" s="4" t="s">
        <v>95</v>
      </c>
      <c r="N4" s="4" t="s">
        <v>95</v>
      </c>
      <c r="Q4" s="1" t="s">
        <v>111</v>
      </c>
      <c r="R4" s="1">
        <v>14541</v>
      </c>
      <c r="S4" s="1">
        <v>-4004</v>
      </c>
      <c r="T4" s="1">
        <f>SUM(R4:S4)</f>
        <v>10537</v>
      </c>
    </row>
    <row r="5" spans="1:20">
      <c r="C5" s="4" t="s">
        <v>95</v>
      </c>
      <c r="D5" s="3"/>
      <c r="E5" s="4" t="s">
        <v>95</v>
      </c>
      <c r="F5" s="3"/>
      <c r="G5" s="4" t="s">
        <v>95</v>
      </c>
      <c r="H5" s="3"/>
      <c r="I5" s="3"/>
      <c r="J5" s="8" t="s">
        <v>12</v>
      </c>
      <c r="K5" s="22"/>
      <c r="Q5" s="1" t="s">
        <v>115</v>
      </c>
      <c r="R5" s="1">
        <v>8570</v>
      </c>
      <c r="S5" s="1">
        <v>-1802</v>
      </c>
      <c r="T5" s="1">
        <f t="shared" ref="T5:T10" si="0">SUM(R5:S5)</f>
        <v>6768</v>
      </c>
    </row>
    <row r="6" spans="1:20">
      <c r="A6" s="1" t="s">
        <v>49</v>
      </c>
      <c r="B6" s="23">
        <f>(C6-E6)/E6</f>
        <v>9.6680989776263149E-3</v>
      </c>
      <c r="C6" s="1">
        <f>R10</f>
        <v>27257</v>
      </c>
      <c r="D6" s="23">
        <f>(E6-G6)/G6</f>
        <v>-1.3700632055825508E-2</v>
      </c>
      <c r="E6" s="1">
        <f>R20</f>
        <v>26996</v>
      </c>
      <c r="F6" s="4"/>
      <c r="G6" s="1">
        <f>R30</f>
        <v>27371</v>
      </c>
      <c r="H6" s="4"/>
      <c r="I6" s="4"/>
      <c r="J6" s="1" t="s">
        <v>38</v>
      </c>
      <c r="K6" s="23">
        <f>(L6-N6)/N6</f>
        <v>-6.0325954755533935E-2</v>
      </c>
      <c r="L6" s="1">
        <v>7726</v>
      </c>
      <c r="N6" s="1">
        <v>8222</v>
      </c>
      <c r="Q6" s="1" t="s">
        <v>116</v>
      </c>
      <c r="R6" s="1">
        <v>2768</v>
      </c>
      <c r="T6" s="1">
        <f t="shared" si="0"/>
        <v>2768</v>
      </c>
    </row>
    <row r="7" spans="1:20">
      <c r="A7" s="1" t="s">
        <v>50</v>
      </c>
      <c r="B7" s="23" t="e">
        <f t="shared" ref="B7:B23" si="1">(C7-E7)/E7</f>
        <v>#DIV/0!</v>
      </c>
      <c r="C7" s="2"/>
      <c r="D7" s="23" t="e">
        <f t="shared" ref="D7:D23" si="2">(E7-G7)/G7</f>
        <v>#DIV/0!</v>
      </c>
      <c r="E7" s="2"/>
      <c r="G7" s="2"/>
      <c r="H7" s="4"/>
      <c r="I7" s="4"/>
      <c r="J7" s="1" t="s">
        <v>13</v>
      </c>
      <c r="K7" s="23" t="e">
        <f t="shared" ref="K7:K9" si="3">(L7-N7)/N7</f>
        <v>#DIV/0!</v>
      </c>
      <c r="Q7" s="1" t="s">
        <v>117</v>
      </c>
      <c r="R7" s="1">
        <v>1324</v>
      </c>
      <c r="T7" s="1">
        <f t="shared" si="0"/>
        <v>1324</v>
      </c>
    </row>
    <row r="8" spans="1:20">
      <c r="A8" s="7" t="s">
        <v>51</v>
      </c>
      <c r="B8" s="23">
        <f t="shared" si="1"/>
        <v>9.6680989776263149E-3</v>
      </c>
      <c r="C8" s="1">
        <f>SUM(C6:C7)</f>
        <v>27257</v>
      </c>
      <c r="D8" s="23">
        <f t="shared" si="2"/>
        <v>-1.3700632055825508E-2</v>
      </c>
      <c r="E8" s="1">
        <f>SUM(E6:E7)</f>
        <v>26996</v>
      </c>
      <c r="G8" s="1">
        <f>SUM(G6:G7)</f>
        <v>27371</v>
      </c>
      <c r="H8" s="3"/>
      <c r="I8" s="3"/>
      <c r="J8" s="1" t="s">
        <v>14</v>
      </c>
      <c r="K8" s="23">
        <f t="shared" si="3"/>
        <v>-0.18540945790080737</v>
      </c>
      <c r="L8" s="1">
        <v>2825</v>
      </c>
      <c r="N8" s="1">
        <v>3468</v>
      </c>
      <c r="Q8" s="1" t="s">
        <v>32</v>
      </c>
      <c r="R8" s="1">
        <v>54</v>
      </c>
      <c r="T8" s="1">
        <f t="shared" si="0"/>
        <v>54</v>
      </c>
    </row>
    <row r="9" spans="1:20">
      <c r="A9" s="1" t="s">
        <v>1</v>
      </c>
      <c r="B9" s="23">
        <f t="shared" si="1"/>
        <v>0.21747543911878536</v>
      </c>
      <c r="C9" s="2">
        <f>S10</f>
        <v>-8179</v>
      </c>
      <c r="D9" s="23">
        <f t="shared" si="2"/>
        <v>-9.570601696055997E-2</v>
      </c>
      <c r="E9" s="2">
        <f>S20</f>
        <v>-6718</v>
      </c>
      <c r="F9" s="4"/>
      <c r="G9" s="2">
        <f>S30</f>
        <v>-7429</v>
      </c>
      <c r="H9" s="4"/>
      <c r="I9" s="4"/>
      <c r="J9" s="1" t="s">
        <v>39</v>
      </c>
      <c r="K9" s="23">
        <f t="shared" si="3"/>
        <v>0.193717277486911</v>
      </c>
      <c r="L9" s="1">
        <v>684</v>
      </c>
      <c r="N9" s="1">
        <v>573</v>
      </c>
      <c r="Q9" s="1" t="s">
        <v>118</v>
      </c>
      <c r="R9" s="2"/>
      <c r="S9" s="2">
        <v>-2373</v>
      </c>
      <c r="T9" s="2">
        <f t="shared" si="0"/>
        <v>-2373</v>
      </c>
    </row>
    <row r="10" spans="1:20">
      <c r="A10" s="7" t="s">
        <v>2</v>
      </c>
      <c r="B10" s="23">
        <f t="shared" si="1"/>
        <v>-5.917743367195976E-2</v>
      </c>
      <c r="C10" s="1">
        <f>C8+C9</f>
        <v>19078</v>
      </c>
      <c r="D10" s="23">
        <f t="shared" si="2"/>
        <v>1.6848861698926888E-2</v>
      </c>
      <c r="E10" s="1">
        <f>E8+E9</f>
        <v>20278</v>
      </c>
      <c r="F10" s="3"/>
      <c r="G10" s="1">
        <f>G8+G9</f>
        <v>19942</v>
      </c>
      <c r="H10" s="4"/>
      <c r="I10" s="4"/>
      <c r="J10" s="1" t="s">
        <v>15</v>
      </c>
      <c r="K10" s="23">
        <f>(L10-N10)/N10</f>
        <v>8.3203559510567293E-2</v>
      </c>
      <c r="L10" s="1">
        <v>4869</v>
      </c>
      <c r="N10" s="1">
        <v>4495</v>
      </c>
      <c r="R10" s="1">
        <f>SUM(R4:R9)</f>
        <v>27257</v>
      </c>
      <c r="S10" s="1">
        <f>SUM(S4:S9)</f>
        <v>-8179</v>
      </c>
      <c r="T10" s="1">
        <f t="shared" si="0"/>
        <v>19078</v>
      </c>
    </row>
    <row r="11" spans="1:20">
      <c r="A11" s="1" t="s">
        <v>37</v>
      </c>
      <c r="B11" s="23" t="e">
        <f t="shared" si="1"/>
        <v>#DIV/0!</v>
      </c>
      <c r="D11" s="23" t="e">
        <f t="shared" si="2"/>
        <v>#DIV/0!</v>
      </c>
      <c r="H11" s="3"/>
      <c r="I11" s="3"/>
      <c r="J11" s="1" t="s">
        <v>16</v>
      </c>
      <c r="K11" s="23">
        <f>(L11-N11)/N11</f>
        <v>-0.10010479426866596</v>
      </c>
      <c r="L11" s="2">
        <f>14+H79</f>
        <v>325457</v>
      </c>
      <c r="N11" s="2">
        <f>836+W78</f>
        <v>361661</v>
      </c>
    </row>
    <row r="12" spans="1:20">
      <c r="A12" s="1" t="s">
        <v>3</v>
      </c>
      <c r="B12" s="23" t="e">
        <f t="shared" si="1"/>
        <v>#DIV/0!</v>
      </c>
      <c r="D12" s="23" t="e">
        <f t="shared" si="2"/>
        <v>#DIV/0!</v>
      </c>
      <c r="F12" s="4"/>
      <c r="H12" s="4"/>
      <c r="I12" s="4"/>
      <c r="K12" s="23">
        <f>(L12-N12)/N12</f>
        <v>-9.7399971988721495E-2</v>
      </c>
      <c r="L12" s="9">
        <f>SUM(L6:L11)</f>
        <v>341561</v>
      </c>
      <c r="N12" s="9">
        <f>SUM(N6:N11)</f>
        <v>378419</v>
      </c>
      <c r="R12" s="26" t="s">
        <v>77</v>
      </c>
      <c r="S12" s="26"/>
      <c r="T12" s="26"/>
    </row>
    <row r="13" spans="1:20">
      <c r="A13" s="1" t="s">
        <v>4</v>
      </c>
      <c r="B13" s="23">
        <f t="shared" si="1"/>
        <v>-0.11858006042296072</v>
      </c>
      <c r="C13" s="1">
        <f>-9423-2998-2917-1000</f>
        <v>-16338</v>
      </c>
      <c r="D13" s="23">
        <f t="shared" si="2"/>
        <v>1.9357677078750551E-2</v>
      </c>
      <c r="E13" s="1">
        <f>-8853-2691-2983-2772-1237</f>
        <v>-18536</v>
      </c>
      <c r="G13" s="1">
        <f>-9860-2895-3069-1110-1250</f>
        <v>-18184</v>
      </c>
      <c r="H13" s="4"/>
      <c r="I13" s="4"/>
      <c r="J13" s="8" t="s">
        <v>17</v>
      </c>
      <c r="K13" s="22"/>
      <c r="R13" s="4" t="s">
        <v>112</v>
      </c>
      <c r="S13" s="4" t="s">
        <v>113</v>
      </c>
      <c r="T13" s="4" t="s">
        <v>114</v>
      </c>
    </row>
    <row r="14" spans="1:20">
      <c r="A14" s="1" t="s">
        <v>52</v>
      </c>
      <c r="B14" s="23" t="e">
        <f t="shared" si="1"/>
        <v>#DIV/0!</v>
      </c>
      <c r="D14" s="23" t="e">
        <f t="shared" si="2"/>
        <v>#DIV/0!</v>
      </c>
      <c r="H14" s="3"/>
      <c r="I14" s="3"/>
      <c r="J14" s="1" t="s">
        <v>121</v>
      </c>
      <c r="K14" s="23">
        <f t="shared" ref="K14:K15" si="4">(L14-N14)/N14</f>
        <v>3.7389460619537671E-2</v>
      </c>
      <c r="L14" s="1">
        <v>80240</v>
      </c>
      <c r="N14" s="1">
        <v>77348</v>
      </c>
      <c r="Q14" s="1" t="s">
        <v>111</v>
      </c>
      <c r="R14" s="1">
        <v>13953</v>
      </c>
      <c r="S14" s="1">
        <v>-3345</v>
      </c>
      <c r="T14" s="1">
        <f>SUM(R14:S14)</f>
        <v>10608</v>
      </c>
    </row>
    <row r="15" spans="1:20">
      <c r="A15" s="1" t="s">
        <v>33</v>
      </c>
      <c r="B15" s="23" t="e">
        <f t="shared" si="1"/>
        <v>#DIV/0!</v>
      </c>
      <c r="C15" s="2"/>
      <c r="D15" s="23" t="e">
        <f t="shared" si="2"/>
        <v>#DIV/0!</v>
      </c>
      <c r="E15" s="2"/>
      <c r="F15" s="4"/>
      <c r="G15" s="2"/>
      <c r="H15" s="4"/>
      <c r="I15" s="4"/>
      <c r="J15" s="1" t="s">
        <v>18</v>
      </c>
      <c r="K15" s="23" t="e">
        <f t="shared" si="4"/>
        <v>#DIV/0!</v>
      </c>
      <c r="Q15" s="1" t="s">
        <v>115</v>
      </c>
      <c r="R15" s="1">
        <v>8470</v>
      </c>
      <c r="S15" s="1">
        <v>-1611</v>
      </c>
      <c r="T15" s="1">
        <f t="shared" ref="T15:T20" si="5">SUM(R15:S15)</f>
        <v>6859</v>
      </c>
    </row>
    <row r="16" spans="1:20">
      <c r="A16" s="7" t="s">
        <v>5</v>
      </c>
      <c r="B16" s="23">
        <f t="shared" si="1"/>
        <v>0.57290470723306541</v>
      </c>
      <c r="C16" s="1">
        <f>SUM(C10:C15)</f>
        <v>2740</v>
      </c>
      <c r="D16" s="23">
        <f t="shared" si="2"/>
        <v>-9.1012514220705342E-3</v>
      </c>
      <c r="E16" s="1">
        <f>SUM(E10:E15)</f>
        <v>1742</v>
      </c>
      <c r="F16" s="3"/>
      <c r="G16" s="1">
        <f>SUM(G10:G15)</f>
        <v>1758</v>
      </c>
      <c r="H16" s="3"/>
      <c r="I16" s="3"/>
      <c r="J16" s="1" t="s">
        <v>19</v>
      </c>
      <c r="K16" s="23">
        <f>(L16-N16)/N16</f>
        <v>-0.22918991296585584</v>
      </c>
      <c r="L16" s="1">
        <f>2893+561</f>
        <v>3454</v>
      </c>
      <c r="N16" s="1">
        <f>415+3010+1056</f>
        <v>4481</v>
      </c>
      <c r="Q16" s="1" t="s">
        <v>116</v>
      </c>
      <c r="R16" s="1">
        <v>3426</v>
      </c>
      <c r="T16" s="1">
        <f t="shared" si="5"/>
        <v>3426</v>
      </c>
    </row>
    <row r="17" spans="1:20">
      <c r="A17" s="1" t="s">
        <v>6</v>
      </c>
      <c r="B17" s="23" t="e">
        <f t="shared" si="1"/>
        <v>#DIV/0!</v>
      </c>
      <c r="D17" s="23" t="e">
        <f t="shared" si="2"/>
        <v>#DIV/0!</v>
      </c>
      <c r="F17" s="4"/>
      <c r="J17" s="1" t="s">
        <v>53</v>
      </c>
      <c r="K17" s="23">
        <f>(L17-N17)/N17</f>
        <v>1.6439656273799588E-2</v>
      </c>
      <c r="L17" s="1">
        <f>H69</f>
        <v>612597</v>
      </c>
      <c r="N17" s="1">
        <f>W68</f>
        <v>602689</v>
      </c>
      <c r="Q17" s="1" t="s">
        <v>117</v>
      </c>
      <c r="R17" s="1">
        <v>1097</v>
      </c>
      <c r="T17" s="1">
        <f t="shared" si="5"/>
        <v>1097</v>
      </c>
    </row>
    <row r="18" spans="1:20">
      <c r="A18" s="1" t="s">
        <v>7</v>
      </c>
      <c r="B18" s="23">
        <f t="shared" si="1"/>
        <v>-1.8221476510067114</v>
      </c>
      <c r="C18" s="2">
        <f>70+420</f>
        <v>490</v>
      </c>
      <c r="D18" s="23">
        <f t="shared" si="2"/>
        <v>0.33932584269662919</v>
      </c>
      <c r="E18" s="2">
        <f>41-637</f>
        <v>-596</v>
      </c>
      <c r="F18" s="4"/>
      <c r="G18" s="2">
        <f>28-473</f>
        <v>-445</v>
      </c>
      <c r="J18" s="1" t="s">
        <v>78</v>
      </c>
      <c r="K18" s="23">
        <f>(L18-N18)/N18</f>
        <v>1.0884713644867334</v>
      </c>
      <c r="L18" s="1">
        <f>102353+1467</f>
        <v>103820</v>
      </c>
      <c r="N18" s="1">
        <v>49711</v>
      </c>
      <c r="Q18" s="1" t="s">
        <v>32</v>
      </c>
      <c r="R18" s="1">
        <v>50</v>
      </c>
      <c r="T18" s="1">
        <f t="shared" si="5"/>
        <v>50</v>
      </c>
    </row>
    <row r="19" spans="1:20">
      <c r="A19" s="7" t="s">
        <v>34</v>
      </c>
      <c r="B19" s="23">
        <f t="shared" si="1"/>
        <v>1.8184991273996509</v>
      </c>
      <c r="C19" s="1">
        <f>SUM(C16:C18)</f>
        <v>3230</v>
      </c>
      <c r="D19" s="23">
        <f t="shared" si="2"/>
        <v>-0.12718964204112718</v>
      </c>
      <c r="E19" s="1">
        <f>SUM(E16:E18)</f>
        <v>1146</v>
      </c>
      <c r="F19" s="3"/>
      <c r="G19" s="1">
        <f>SUM(G16:G18)</f>
        <v>1313</v>
      </c>
      <c r="J19" s="1" t="s">
        <v>41</v>
      </c>
      <c r="K19" s="23">
        <f>(L19-N19)/N19</f>
        <v>8.7031504617055955</v>
      </c>
      <c r="L19" s="2">
        <v>71454</v>
      </c>
      <c r="N19" s="2">
        <v>7364</v>
      </c>
      <c r="Q19" s="1" t="s">
        <v>118</v>
      </c>
      <c r="R19" s="2"/>
      <c r="S19" s="2">
        <v>-1762</v>
      </c>
      <c r="T19" s="2">
        <f t="shared" si="5"/>
        <v>-1762</v>
      </c>
    </row>
    <row r="20" spans="1:20">
      <c r="A20" s="1" t="s">
        <v>8</v>
      </c>
      <c r="B20" s="23">
        <f t="shared" si="1"/>
        <v>-0.13577023498694518</v>
      </c>
      <c r="C20" s="2">
        <v>-993</v>
      </c>
      <c r="D20" s="23">
        <f t="shared" si="2"/>
        <v>2.4977698483496878E-2</v>
      </c>
      <c r="E20" s="2">
        <v>-1149</v>
      </c>
      <c r="F20" s="4"/>
      <c r="G20" s="2">
        <v>-1121</v>
      </c>
      <c r="K20" s="23">
        <f>(L20-N20)/N20</f>
        <v>0.17526055396963025</v>
      </c>
      <c r="L20" s="1">
        <f>SUM(L14:L19)</f>
        <v>871565</v>
      </c>
      <c r="N20" s="1">
        <f>SUM(N14:N19)</f>
        <v>741593</v>
      </c>
      <c r="R20" s="1">
        <f>SUM(R14:R19)</f>
        <v>26996</v>
      </c>
      <c r="S20" s="1">
        <f>SUM(S14:S19)</f>
        <v>-6718</v>
      </c>
      <c r="T20" s="1">
        <f t="shared" si="5"/>
        <v>20278</v>
      </c>
    </row>
    <row r="21" spans="1:20">
      <c r="A21" s="7" t="s">
        <v>35</v>
      </c>
      <c r="B21" s="23">
        <f t="shared" si="1"/>
        <v>-746.66666666666663</v>
      </c>
      <c r="C21" s="9">
        <f>SUM(C19:C20)</f>
        <v>2237</v>
      </c>
      <c r="D21" s="23">
        <f t="shared" si="2"/>
        <v>-1.015625</v>
      </c>
      <c r="E21" s="9">
        <f>SUM(E19:E20)</f>
        <v>-3</v>
      </c>
      <c r="F21" s="3"/>
      <c r="G21" s="9">
        <f>SUM(G19:G20)</f>
        <v>192</v>
      </c>
    </row>
    <row r="22" spans="1:20" ht="16" thickBot="1">
      <c r="A22" s="1" t="s">
        <v>36</v>
      </c>
      <c r="B22" s="23">
        <f t="shared" si="1"/>
        <v>-5.5910543130990413E-2</v>
      </c>
      <c r="C22" s="1">
        <v>591</v>
      </c>
      <c r="D22" s="23">
        <f t="shared" si="2"/>
        <v>-4.1347626339969371E-2</v>
      </c>
      <c r="E22" s="1">
        <v>626</v>
      </c>
      <c r="G22" s="1">
        <v>653</v>
      </c>
      <c r="J22" s="10" t="s">
        <v>20</v>
      </c>
      <c r="K22" s="23">
        <f>(L22-N22)/N22</f>
        <v>8.3136609250615168E-2</v>
      </c>
      <c r="L22" s="5">
        <f>L20+L12</f>
        <v>1213126</v>
      </c>
      <c r="N22" s="5">
        <f>N20+N12</f>
        <v>1120012</v>
      </c>
      <c r="R22" s="26" t="s">
        <v>61</v>
      </c>
      <c r="S22" s="26"/>
      <c r="T22" s="26"/>
    </row>
    <row r="23" spans="1:20" ht="17" thickTop="1" thickBot="1">
      <c r="A23" s="7" t="s">
        <v>9</v>
      </c>
      <c r="B23" s="23">
        <f t="shared" si="1"/>
        <v>3.5393258426966292</v>
      </c>
      <c r="C23" s="5">
        <f>SUM(C21:C22)</f>
        <v>2828</v>
      </c>
      <c r="D23" s="23">
        <f t="shared" si="2"/>
        <v>-0.26272189349112424</v>
      </c>
      <c r="E23" s="5">
        <f>SUM(E21:E22)</f>
        <v>623</v>
      </c>
      <c r="G23" s="5">
        <f>SUM(G21:G22)</f>
        <v>845</v>
      </c>
      <c r="R23" s="4" t="s">
        <v>112</v>
      </c>
      <c r="S23" s="4" t="s">
        <v>113</v>
      </c>
      <c r="T23" s="4" t="s">
        <v>114</v>
      </c>
    </row>
    <row r="24" spans="1:20" ht="16" thickTop="1">
      <c r="C24" s="12"/>
      <c r="E24" s="12"/>
      <c r="G24" s="12"/>
      <c r="Q24" s="1" t="s">
        <v>111</v>
      </c>
      <c r="R24" s="1">
        <v>14194</v>
      </c>
      <c r="S24" s="1">
        <v>-4108</v>
      </c>
      <c r="T24" s="1">
        <f>SUM(R24:S24)</f>
        <v>10086</v>
      </c>
    </row>
    <row r="25" spans="1:20">
      <c r="A25" s="8" t="s">
        <v>30</v>
      </c>
      <c r="B25" s="20"/>
      <c r="C25" s="12"/>
      <c r="E25" s="12"/>
      <c r="G25" s="12"/>
      <c r="Q25" s="1" t="s">
        <v>115</v>
      </c>
      <c r="R25" s="1">
        <v>8622</v>
      </c>
      <c r="S25" s="1">
        <v>-1500</v>
      </c>
      <c r="T25" s="1">
        <f t="shared" ref="T25:T29" si="6">SUM(R25:S25)</f>
        <v>7122</v>
      </c>
    </row>
    <row r="26" spans="1:20">
      <c r="A26" s="1" t="s">
        <v>65</v>
      </c>
      <c r="B26" s="19" t="s">
        <v>63</v>
      </c>
      <c r="C26" s="12">
        <f>C10/C6</f>
        <v>0.6999302931357082</v>
      </c>
      <c r="E26" s="12">
        <f>E10/E6</f>
        <v>0.75114831826937323</v>
      </c>
      <c r="G26" s="12">
        <f>G10/G6</f>
        <v>0.72858134521939277</v>
      </c>
      <c r="J26" s="8" t="s">
        <v>21</v>
      </c>
      <c r="K26" s="22"/>
      <c r="Q26" s="1" t="s">
        <v>116</v>
      </c>
      <c r="R26" s="1">
        <v>3086</v>
      </c>
      <c r="T26" s="1">
        <f t="shared" si="6"/>
        <v>3086</v>
      </c>
    </row>
    <row r="27" spans="1:20">
      <c r="A27" s="1" t="s">
        <v>66</v>
      </c>
      <c r="B27" s="19" t="s">
        <v>63</v>
      </c>
      <c r="C27" s="12">
        <f>C16/C6</f>
        <v>0.10052463587335364</v>
      </c>
      <c r="E27" s="12">
        <f>E16/E6</f>
        <v>6.4528078233812416E-2</v>
      </c>
      <c r="G27" s="12">
        <f>G16/G6</f>
        <v>6.422856307770998E-2</v>
      </c>
      <c r="J27" s="1" t="s">
        <v>54</v>
      </c>
      <c r="K27" s="23">
        <f t="shared" ref="K27:K28" si="7">(L27-N27)/N27</f>
        <v>3.7781959926437077E-2</v>
      </c>
      <c r="L27" s="1">
        <f>H100</f>
        <v>967768</v>
      </c>
      <c r="N27" s="1">
        <f>W99</f>
        <v>932535</v>
      </c>
      <c r="Q27" s="1" t="s">
        <v>117</v>
      </c>
      <c r="R27" s="1">
        <v>1309</v>
      </c>
      <c r="T27" s="1">
        <f t="shared" si="6"/>
        <v>1309</v>
      </c>
    </row>
    <row r="28" spans="1:20">
      <c r="A28" s="1" t="s">
        <v>67</v>
      </c>
      <c r="B28" s="19" t="s">
        <v>63</v>
      </c>
      <c r="C28" s="12">
        <f>C23/C6</f>
        <v>0.10375316432476062</v>
      </c>
      <c r="E28" s="12">
        <f>E23/E6</f>
        <v>2.3077492961920285E-2</v>
      </c>
      <c r="G28" s="12">
        <f>G23/G6</f>
        <v>3.0872090899126813E-2</v>
      </c>
      <c r="J28" s="1" t="s">
        <v>22</v>
      </c>
      <c r="K28" s="23" t="e">
        <f t="shared" si="7"/>
        <v>#DIV/0!</v>
      </c>
      <c r="Q28" s="1" t="s">
        <v>32</v>
      </c>
      <c r="R28" s="1">
        <v>160</v>
      </c>
      <c r="T28" s="1">
        <f t="shared" si="6"/>
        <v>160</v>
      </c>
    </row>
    <row r="29" spans="1:20">
      <c r="A29" s="1" t="s">
        <v>68</v>
      </c>
      <c r="B29" s="19" t="s">
        <v>63</v>
      </c>
      <c r="C29" s="12">
        <f>C23/L42</f>
        <v>3.9627268268759196E-2</v>
      </c>
      <c r="E29" s="12">
        <f>E23/N42</f>
        <v>9.4588849751002062E-3</v>
      </c>
      <c r="G29" s="12"/>
      <c r="J29" s="1" t="s">
        <v>55</v>
      </c>
      <c r="K29" s="23">
        <f>(L29-N29)/N29</f>
        <v>-0.18383167220376523</v>
      </c>
      <c r="L29" s="1">
        <v>737</v>
      </c>
      <c r="N29" s="1">
        <v>903</v>
      </c>
      <c r="Q29" s="1" t="s">
        <v>118</v>
      </c>
      <c r="R29" s="2"/>
      <c r="S29" s="2">
        <v>-1821</v>
      </c>
      <c r="T29" s="2">
        <f t="shared" si="6"/>
        <v>-1821</v>
      </c>
    </row>
    <row r="30" spans="1:20">
      <c r="A30" s="1" t="s">
        <v>69</v>
      </c>
      <c r="B30" s="19" t="s">
        <v>63</v>
      </c>
      <c r="C30" s="12">
        <f>(C16+C18)/(L42+L36)</f>
        <v>1.9468973207558544E-2</v>
      </c>
      <c r="E30" s="12">
        <f>(E16+E18)/(L42+N36)</f>
        <v>6.62780206815185E-3</v>
      </c>
      <c r="G30" s="12"/>
      <c r="J30" s="1" t="s">
        <v>23</v>
      </c>
      <c r="K30" s="23" t="e">
        <f>(#REF!-N30)/N30</f>
        <v>#REF!</v>
      </c>
      <c r="L30" s="1">
        <v>4134</v>
      </c>
      <c r="N30" s="1">
        <v>4142</v>
      </c>
      <c r="R30" s="1">
        <f>SUM(R24:R29)</f>
        <v>27371</v>
      </c>
      <c r="S30" s="1">
        <f>SUM(S24:S29)</f>
        <v>-7429</v>
      </c>
      <c r="T30" s="1">
        <f t="shared" ref="T30" si="8">SUM(R30:S30)</f>
        <v>19942</v>
      </c>
    </row>
    <row r="31" spans="1:20">
      <c r="J31" s="1" t="s">
        <v>24</v>
      </c>
      <c r="K31" s="23">
        <f>(L31-N31)/N31</f>
        <v>4.5738535895320051E-2</v>
      </c>
      <c r="L31" s="1">
        <v>8871</v>
      </c>
      <c r="N31" s="1">
        <f>10610-2127</f>
        <v>8483</v>
      </c>
    </row>
    <row r="32" spans="1:20">
      <c r="A32" s="8" t="s">
        <v>31</v>
      </c>
      <c r="B32" s="20"/>
      <c r="J32" s="1" t="s">
        <v>42</v>
      </c>
      <c r="K32" s="23">
        <f>(L32-N32)/N32</f>
        <v>9.8874437218609312</v>
      </c>
      <c r="L32" s="2">
        <v>65292</v>
      </c>
      <c r="N32" s="2">
        <v>5997</v>
      </c>
    </row>
    <row r="33" spans="1:14">
      <c r="A33" s="1" t="s">
        <v>70</v>
      </c>
      <c r="B33" s="19" t="s">
        <v>71</v>
      </c>
      <c r="C33" s="13">
        <f>L20/L33</f>
        <v>0.83259775965273275</v>
      </c>
      <c r="E33" s="13">
        <f>N20/N33</f>
        <v>0.77893515114593614</v>
      </c>
      <c r="G33" s="13"/>
      <c r="K33" s="23">
        <f>(L33-N33)/N33</f>
        <v>9.9512635758250534E-2</v>
      </c>
      <c r="L33" s="1">
        <f>SUM(L27:L32)</f>
        <v>1046802</v>
      </c>
      <c r="N33" s="1">
        <f>SUM(N27:N32)</f>
        <v>952060</v>
      </c>
    </row>
    <row r="34" spans="1:14">
      <c r="A34" s="1" t="s">
        <v>72</v>
      </c>
      <c r="B34" s="19" t="s">
        <v>71</v>
      </c>
      <c r="C34" s="13">
        <f>(L20-L14)/L33</f>
        <v>0.75594525039119143</v>
      </c>
      <c r="E34" s="13">
        <f>(N20-N14)/N33</f>
        <v>0.69769237232947501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>
        <f t="shared" ref="K36:K38" si="9">(L36-N36)/N36</f>
        <v>-6.8965856829126579E-2</v>
      </c>
      <c r="L36" s="1">
        <f>H113</f>
        <v>94540</v>
      </c>
      <c r="N36" s="1">
        <f>W112</f>
        <v>101543</v>
      </c>
    </row>
    <row r="37" spans="1:14">
      <c r="A37" s="1" t="s">
        <v>73</v>
      </c>
      <c r="B37" s="19" t="s">
        <v>62</v>
      </c>
      <c r="C37" s="13">
        <f>C6/L12</f>
        <v>7.9801265366947635E-2</v>
      </c>
      <c r="E37" s="13">
        <f>E6/N12</f>
        <v>7.1338912686730843E-2</v>
      </c>
      <c r="G37" s="13"/>
      <c r="J37" s="1" t="s">
        <v>23</v>
      </c>
      <c r="K37" s="23" t="e">
        <f>(L30-N37)/N37</f>
        <v>#DIV/0!</v>
      </c>
    </row>
    <row r="38" spans="1:14">
      <c r="A38" s="1" t="s">
        <v>74</v>
      </c>
      <c r="B38" s="19" t="s">
        <v>75</v>
      </c>
      <c r="C38" s="1">
        <f>(L14/C9)*365*-1</f>
        <v>3580.8289521946449</v>
      </c>
      <c r="E38" s="1">
        <f>(N14/E9)*365*-1</f>
        <v>4202.4441798154212</v>
      </c>
      <c r="J38" s="1" t="s">
        <v>79</v>
      </c>
      <c r="K38" s="23">
        <f t="shared" si="9"/>
        <v>-0.76229508196721307</v>
      </c>
      <c r="L38" s="1">
        <v>29</v>
      </c>
      <c r="N38" s="1">
        <v>122</v>
      </c>
    </row>
    <row r="39" spans="1:14">
      <c r="A39" s="1" t="s">
        <v>76</v>
      </c>
      <c r="B39" s="19" t="s">
        <v>62</v>
      </c>
      <c r="C39" s="18">
        <f>C9/L14*-1</f>
        <v>0.10193170488534396</v>
      </c>
      <c r="E39" s="18">
        <f>E9/N14*-1</f>
        <v>8.6854217303614825E-2</v>
      </c>
      <c r="G39" s="18"/>
      <c r="J39" s="1" t="s">
        <v>26</v>
      </c>
      <c r="K39" s="23">
        <f>(L39-N39)/N39</f>
        <v>-7.8014184397163122E-2</v>
      </c>
      <c r="L39" s="1">
        <v>390</v>
      </c>
      <c r="N39" s="1">
        <v>423</v>
      </c>
    </row>
    <row r="40" spans="1:14">
      <c r="A40" s="1" t="s">
        <v>43</v>
      </c>
      <c r="B40" s="19" t="s">
        <v>75</v>
      </c>
      <c r="C40" s="18">
        <f>(L15-(L15*20%))/C6*365</f>
        <v>0</v>
      </c>
      <c r="E40" s="18">
        <f>(N15-(N15*20%))/E6*365</f>
        <v>0</v>
      </c>
      <c r="G40" s="18"/>
      <c r="J40" s="1" t="s">
        <v>16</v>
      </c>
      <c r="K40" s="23" t="e">
        <f>(L40-N40)/N40</f>
        <v>#DIV/0!</v>
      </c>
      <c r="L40" s="2"/>
      <c r="N40" s="2"/>
    </row>
    <row r="41" spans="1:14">
      <c r="A41" s="1" t="s">
        <v>44</v>
      </c>
      <c r="B41" s="19" t="s">
        <v>75</v>
      </c>
      <c r="C41" s="18">
        <f>(L28-(L28*20%))/C9*365*-1</f>
        <v>0</v>
      </c>
      <c r="E41" s="18">
        <f>(N28-(N28*20%))/E9*365*-1</f>
        <v>0</v>
      </c>
      <c r="G41" s="18"/>
      <c r="L41" s="1">
        <f>SUM(L36:L40)</f>
        <v>94959</v>
      </c>
      <c r="N41" s="1">
        <f>SUM(N36:N40)</f>
        <v>102088</v>
      </c>
    </row>
    <row r="42" spans="1:14">
      <c r="J42" s="1" t="s">
        <v>27</v>
      </c>
      <c r="K42" s="23">
        <f t="shared" ref="K42:K43" si="10">(L42-N42)/N42</f>
        <v>8.352058787805175E-2</v>
      </c>
      <c r="L42" s="1">
        <v>71365</v>
      </c>
      <c r="N42" s="1">
        <v>65864</v>
      </c>
    </row>
    <row r="43" spans="1:14" ht="16" thickBot="1">
      <c r="A43" s="8" t="s">
        <v>46</v>
      </c>
      <c r="B43" s="20"/>
      <c r="J43" s="1" t="s">
        <v>28</v>
      </c>
      <c r="K43" s="23">
        <f t="shared" si="10"/>
        <v>8.3136609250615168E-2</v>
      </c>
      <c r="L43" s="5">
        <f>L33+L41+L42</f>
        <v>1213126</v>
      </c>
      <c r="N43" s="5">
        <f>N33+N41+N42</f>
        <v>1120012</v>
      </c>
    </row>
    <row r="44" spans="1:14" ht="16" thickTop="1">
      <c r="A44" s="1" t="s">
        <v>91</v>
      </c>
      <c r="B44" s="19" t="s">
        <v>96</v>
      </c>
      <c r="C44" s="15">
        <f>C23/(L46/1000000)*100</f>
        <v>16.773428232502965</v>
      </c>
      <c r="E44" s="15">
        <f>E23/(N46/1000000)*100</f>
        <v>3.7343403464604688</v>
      </c>
      <c r="G44" s="15"/>
    </row>
    <row r="45" spans="1:14">
      <c r="A45" s="1" t="s">
        <v>81</v>
      </c>
      <c r="B45" s="19" t="s">
        <v>62</v>
      </c>
      <c r="C45" s="13">
        <f>L47/C44</f>
        <v>0.13050403111739747</v>
      </c>
      <c r="E45" s="13">
        <f>N47/E44</f>
        <v>0.65111901284109153</v>
      </c>
      <c r="G45" s="13"/>
    </row>
    <row r="46" spans="1:14">
      <c r="A46" s="1" t="s">
        <v>92</v>
      </c>
      <c r="B46" s="19" t="s">
        <v>62</v>
      </c>
      <c r="C46" s="1">
        <f>C44/L49</f>
        <v>5.5911427441676551</v>
      </c>
      <c r="E46" s="1">
        <f>E44/N49</f>
        <v>0.57451389945545672</v>
      </c>
      <c r="J46" s="1" t="s">
        <v>82</v>
      </c>
      <c r="K46" s="23">
        <f t="shared" ref="K46:K49" si="11">(L46-N46)/N46</f>
        <v>1.0609602589462327E-2</v>
      </c>
      <c r="L46" s="2">
        <v>16860000000</v>
      </c>
      <c r="N46" s="2">
        <v>16683000000</v>
      </c>
    </row>
    <row r="47" spans="1:14">
      <c r="A47" s="1" t="s">
        <v>93</v>
      </c>
      <c r="B47" s="19" t="s">
        <v>63</v>
      </c>
      <c r="C47" s="12">
        <f>L49/L47</f>
        <v>1.3704888076747372</v>
      </c>
      <c r="E47" s="12">
        <f>N49/N47</f>
        <v>2.6732469668928642</v>
      </c>
      <c r="G47" s="12"/>
      <c r="J47" s="1" t="s">
        <v>47</v>
      </c>
      <c r="K47" s="23">
        <f t="shared" si="11"/>
        <v>-9.9732675303310772E-2</v>
      </c>
      <c r="L47" s="16">
        <f>218.9/100</f>
        <v>2.1890000000000001</v>
      </c>
      <c r="N47" s="17">
        <f>243.15/100</f>
        <v>2.4315000000000002</v>
      </c>
    </row>
    <row r="48" spans="1:14">
      <c r="A48" s="1" t="s">
        <v>90</v>
      </c>
      <c r="B48" s="19" t="s">
        <v>64</v>
      </c>
      <c r="C48" s="13">
        <f>L36/(L42+L36)</f>
        <v>0.5698441879388807</v>
      </c>
      <c r="E48" s="13">
        <f>N36/(N42+N36)</f>
        <v>0.60656364429205467</v>
      </c>
      <c r="G48" s="13"/>
      <c r="J48" s="1" t="s">
        <v>48</v>
      </c>
      <c r="K48" s="23">
        <f t="shared" si="11"/>
        <v>-9.0181196764000396E-2</v>
      </c>
      <c r="L48" s="2">
        <f>L46*L47</f>
        <v>36906540000</v>
      </c>
      <c r="N48" s="2">
        <f>N46*N47</f>
        <v>40564714500</v>
      </c>
    </row>
    <row r="49" spans="1:23">
      <c r="A49" s="1" t="s">
        <v>94</v>
      </c>
      <c r="B49" s="19" t="s">
        <v>62</v>
      </c>
      <c r="C49" s="25" t="s">
        <v>124</v>
      </c>
      <c r="D49" s="4"/>
      <c r="E49" s="25" t="s">
        <v>124</v>
      </c>
      <c r="G49" s="13"/>
      <c r="J49" s="1" t="s">
        <v>57</v>
      </c>
      <c r="K49" s="23">
        <f t="shared" si="11"/>
        <v>-0.53846153846153844</v>
      </c>
      <c r="L49" s="16">
        <v>3</v>
      </c>
      <c r="N49" s="16">
        <v>6.5</v>
      </c>
    </row>
    <row r="51" spans="1:23">
      <c r="A51" s="8" t="s">
        <v>32</v>
      </c>
      <c r="B51" s="20"/>
    </row>
    <row r="52" spans="1:23">
      <c r="A52" s="1" t="s">
        <v>107</v>
      </c>
      <c r="B52" s="19" t="s">
        <v>63</v>
      </c>
      <c r="C52" s="12">
        <f>C20/C19</f>
        <v>-0.30743034055727553</v>
      </c>
      <c r="E52" s="12">
        <f>E20/E19</f>
        <v>-1.0026178010471205</v>
      </c>
      <c r="G52" s="12">
        <f>G20/G19</f>
        <v>-0.85376999238385376</v>
      </c>
    </row>
    <row r="53" spans="1:23">
      <c r="A53" s="1" t="s">
        <v>108</v>
      </c>
      <c r="B53" s="19" t="s">
        <v>63</v>
      </c>
      <c r="C53" s="12">
        <f>C12/C6</f>
        <v>0</v>
      </c>
      <c r="E53" s="12">
        <f>E12/E6</f>
        <v>0</v>
      </c>
      <c r="G53" s="12">
        <f>G12/G6</f>
        <v>0</v>
      </c>
    </row>
    <row r="54" spans="1:23">
      <c r="A54" s="1" t="s">
        <v>109</v>
      </c>
      <c r="B54" s="19" t="s">
        <v>63</v>
      </c>
      <c r="C54" s="12">
        <f>(L6+L7)/L22</f>
        <v>6.368670690431167E-3</v>
      </c>
      <c r="E54" s="12">
        <f>(N6+N7)/N22</f>
        <v>7.3409927750774095E-3</v>
      </c>
    </row>
    <row r="55" spans="1:23">
      <c r="A55" s="1" t="s">
        <v>110</v>
      </c>
      <c r="B55" s="19" t="s">
        <v>63</v>
      </c>
      <c r="C55" s="12">
        <f>(L6+L7)/L42</f>
        <v>0.10826035171302459</v>
      </c>
      <c r="E55" s="12">
        <f>(N6+N7)/N42</f>
        <v>0.12483298918984574</v>
      </c>
    </row>
    <row r="59" spans="1:23">
      <c r="Q59" s="19">
        <v>2015</v>
      </c>
    </row>
    <row r="60" spans="1:23">
      <c r="B60" s="19">
        <v>2016</v>
      </c>
      <c r="Q60" s="19" t="s">
        <v>119</v>
      </c>
    </row>
    <row r="61" spans="1:23">
      <c r="B61" s="19" t="s">
        <v>119</v>
      </c>
      <c r="Q61" s="19"/>
      <c r="R61" s="1">
        <v>30667</v>
      </c>
      <c r="S61" s="1">
        <v>21966</v>
      </c>
      <c r="T61" s="1">
        <v>1722</v>
      </c>
      <c r="U61" s="1">
        <v>1372</v>
      </c>
      <c r="V61" s="1">
        <v>583</v>
      </c>
      <c r="W61" s="1">
        <f>SUM(R61:V61)</f>
        <v>56310</v>
      </c>
    </row>
    <row r="62" spans="1:23">
      <c r="C62" s="1">
        <v>15558</v>
      </c>
      <c r="D62" s="1">
        <v>43270</v>
      </c>
      <c r="E62" s="1">
        <v>5518</v>
      </c>
      <c r="F62" s="1">
        <v>2376</v>
      </c>
      <c r="G62" s="1">
        <v>2081</v>
      </c>
      <c r="H62" s="1">
        <f>SUM(C62:G62)</f>
        <v>68803</v>
      </c>
      <c r="Q62" s="19"/>
      <c r="R62" s="1">
        <v>326772</v>
      </c>
      <c r="S62" s="1">
        <v>28</v>
      </c>
      <c r="T62" s="1">
        <v>3</v>
      </c>
      <c r="U62" s="1">
        <v>1</v>
      </c>
      <c r="V62" s="1">
        <v>53</v>
      </c>
      <c r="W62" s="1">
        <f t="shared" ref="W62:W67" si="12">SUM(R62:V62)</f>
        <v>326857</v>
      </c>
    </row>
    <row r="63" spans="1:23">
      <c r="C63" s="1">
        <v>345625</v>
      </c>
      <c r="D63" s="1">
        <v>5</v>
      </c>
      <c r="E63" s="1">
        <v>400</v>
      </c>
      <c r="F63" s="1">
        <v>5</v>
      </c>
      <c r="G63" s="1">
        <v>2</v>
      </c>
      <c r="H63" s="1">
        <f t="shared" ref="H63:H68" si="13">SUM(C63:G63)</f>
        <v>346037</v>
      </c>
      <c r="Q63" s="19"/>
      <c r="R63" s="1">
        <v>5354</v>
      </c>
      <c r="S63" s="1">
        <v>31539</v>
      </c>
      <c r="T63" s="1">
        <v>1954</v>
      </c>
      <c r="U63" s="1">
        <v>366</v>
      </c>
      <c r="V63" s="1">
        <v>468</v>
      </c>
      <c r="W63" s="1">
        <f t="shared" si="12"/>
        <v>39681</v>
      </c>
    </row>
    <row r="64" spans="1:23">
      <c r="C64" s="1">
        <v>4858</v>
      </c>
      <c r="D64" s="1">
        <v>34346</v>
      </c>
      <c r="E64" s="1">
        <v>2753</v>
      </c>
      <c r="F64" s="1">
        <v>480</v>
      </c>
      <c r="G64" s="1">
        <v>133</v>
      </c>
      <c r="H64" s="1">
        <f t="shared" si="13"/>
        <v>42570</v>
      </c>
      <c r="Q64" s="19"/>
      <c r="R64" s="1">
        <v>29117</v>
      </c>
      <c r="S64" s="1">
        <v>76337</v>
      </c>
      <c r="T64" s="1">
        <v>13935</v>
      </c>
      <c r="U64" s="1">
        <v>7084</v>
      </c>
      <c r="V64" s="1">
        <v>12332</v>
      </c>
      <c r="W64" s="1">
        <f t="shared" si="12"/>
        <v>138805</v>
      </c>
    </row>
    <row r="65" spans="2:23">
      <c r="C65" s="1">
        <v>26929</v>
      </c>
      <c r="D65" s="1">
        <v>85993</v>
      </c>
      <c r="E65" s="1">
        <v>7522</v>
      </c>
      <c r="F65" s="1">
        <v>6310</v>
      </c>
      <c r="G65" s="1">
        <v>8245</v>
      </c>
      <c r="H65" s="1">
        <f t="shared" si="13"/>
        <v>134999</v>
      </c>
      <c r="Q65" s="19"/>
      <c r="R65" s="1">
        <v>12171</v>
      </c>
      <c r="S65" s="1">
        <v>12089</v>
      </c>
      <c r="T65" s="1">
        <v>3296</v>
      </c>
      <c r="U65" s="1">
        <v>292</v>
      </c>
      <c r="V65" s="1">
        <v>205</v>
      </c>
      <c r="W65" s="1">
        <f t="shared" si="12"/>
        <v>28053</v>
      </c>
    </row>
    <row r="66" spans="2:23">
      <c r="C66" s="1">
        <v>7043</v>
      </c>
      <c r="D66" s="1">
        <v>3678</v>
      </c>
      <c r="E66" s="1">
        <v>892</v>
      </c>
      <c r="F66" s="1">
        <v>144</v>
      </c>
      <c r="G66" s="1">
        <v>905</v>
      </c>
      <c r="H66" s="1">
        <f t="shared" si="13"/>
        <v>12662</v>
      </c>
      <c r="Q66" s="19"/>
      <c r="R66" s="1">
        <v>467</v>
      </c>
      <c r="S66" s="1">
        <v>2396</v>
      </c>
      <c r="T66" s="1">
        <v>1792</v>
      </c>
      <c r="U66" s="1">
        <v>4936</v>
      </c>
      <c r="V66" s="1">
        <v>2088</v>
      </c>
      <c r="W66" s="1">
        <f t="shared" si="12"/>
        <v>11679</v>
      </c>
    </row>
    <row r="67" spans="2:23">
      <c r="C67" s="1">
        <v>40</v>
      </c>
      <c r="D67" s="1">
        <v>1015</v>
      </c>
      <c r="E67" s="1">
        <v>3064</v>
      </c>
      <c r="F67" s="1">
        <v>741</v>
      </c>
      <c r="G67" s="1">
        <v>2666</v>
      </c>
      <c r="H67" s="1">
        <f t="shared" si="13"/>
        <v>7526</v>
      </c>
      <c r="Q67" s="19"/>
      <c r="S67" s="1">
        <v>1304</v>
      </c>
      <c r="W67" s="1">
        <f t="shared" si="12"/>
        <v>1304</v>
      </c>
    </row>
    <row r="68" spans="2:23">
      <c r="H68" s="1">
        <f t="shared" si="13"/>
        <v>0</v>
      </c>
      <c r="Q68" s="19"/>
      <c r="R68" s="1">
        <f>SUM(R61:R67)</f>
        <v>404548</v>
      </c>
      <c r="S68" s="1">
        <f t="shared" ref="S68" si="14">SUM(S61:S67)</f>
        <v>145659</v>
      </c>
      <c r="T68" s="1">
        <f t="shared" ref="T68" si="15">SUM(T61:T67)</f>
        <v>22702</v>
      </c>
      <c r="U68" s="1">
        <f t="shared" ref="U68" si="16">SUM(U61:U67)</f>
        <v>14051</v>
      </c>
      <c r="V68" s="1">
        <f t="shared" ref="V68" si="17">SUM(V61:V67)</f>
        <v>15729</v>
      </c>
      <c r="W68" s="1">
        <f t="shared" ref="W68" si="18">SUM(W61:W67)</f>
        <v>602689</v>
      </c>
    </row>
    <row r="69" spans="2:23">
      <c r="C69" s="1">
        <f>SUM(C62:C68)</f>
        <v>400053</v>
      </c>
      <c r="D69" s="1">
        <f t="shared" ref="D69:H69" si="19">SUM(D62:D68)</f>
        <v>168307</v>
      </c>
      <c r="E69" s="1">
        <f t="shared" si="19"/>
        <v>20149</v>
      </c>
      <c r="F69" s="1">
        <f t="shared" si="19"/>
        <v>10056</v>
      </c>
      <c r="G69" s="1">
        <f t="shared" si="19"/>
        <v>14032</v>
      </c>
      <c r="H69" s="1">
        <f t="shared" si="19"/>
        <v>612597</v>
      </c>
      <c r="Q69" s="19"/>
    </row>
    <row r="70" spans="2:23">
      <c r="Q70" s="19" t="s">
        <v>120</v>
      </c>
    </row>
    <row r="71" spans="2:23">
      <c r="B71" s="19" t="s">
        <v>120</v>
      </c>
      <c r="Q71" s="19"/>
      <c r="R71" s="1">
        <v>1021</v>
      </c>
      <c r="S71" s="1">
        <v>587</v>
      </c>
      <c r="T71" s="1">
        <v>424</v>
      </c>
      <c r="U71" s="1">
        <v>867</v>
      </c>
      <c r="V71" s="1">
        <v>16172</v>
      </c>
      <c r="W71" s="1">
        <f t="shared" ref="W71:W77" si="20">SUM(R71:V71)</f>
        <v>19071</v>
      </c>
    </row>
    <row r="72" spans="2:23">
      <c r="C72" s="1">
        <v>686</v>
      </c>
      <c r="D72" s="1">
        <v>90</v>
      </c>
      <c r="E72" s="1">
        <v>129</v>
      </c>
      <c r="F72" s="1">
        <v>771</v>
      </c>
      <c r="G72" s="1">
        <v>8129</v>
      </c>
      <c r="H72" s="1">
        <f>SUM(C72:G72)</f>
        <v>9805</v>
      </c>
      <c r="Q72" s="19"/>
      <c r="R72" s="1">
        <v>328</v>
      </c>
      <c r="S72" s="1">
        <v>61</v>
      </c>
      <c r="T72" s="1">
        <v>257</v>
      </c>
      <c r="U72" s="1">
        <v>147</v>
      </c>
      <c r="V72" s="1">
        <v>59</v>
      </c>
      <c r="W72" s="1">
        <f t="shared" si="20"/>
        <v>852</v>
      </c>
    </row>
    <row r="73" spans="2:23">
      <c r="C73" s="1">
        <v>14</v>
      </c>
      <c r="D73" s="1">
        <v>168</v>
      </c>
      <c r="E73" s="1">
        <v>175</v>
      </c>
      <c r="F73" s="1">
        <v>123</v>
      </c>
      <c r="G73" s="1">
        <v>109</v>
      </c>
      <c r="H73" s="1">
        <f t="shared" ref="H73:H78" si="21">SUM(C73:G73)</f>
        <v>589</v>
      </c>
      <c r="Q73" s="19"/>
      <c r="R73" s="1">
        <v>588</v>
      </c>
      <c r="S73" s="1">
        <v>991</v>
      </c>
      <c r="T73" s="1">
        <v>43</v>
      </c>
      <c r="U73" s="1">
        <v>12</v>
      </c>
      <c r="V73" s="1">
        <v>34</v>
      </c>
      <c r="W73" s="1">
        <f t="shared" si="20"/>
        <v>1668</v>
      </c>
    </row>
    <row r="74" spans="2:23">
      <c r="C74" s="1">
        <v>412</v>
      </c>
      <c r="D74" s="1">
        <v>236</v>
      </c>
      <c r="E74" s="1">
        <v>20</v>
      </c>
      <c r="F74" s="1">
        <v>13</v>
      </c>
      <c r="H74" s="1">
        <f t="shared" si="21"/>
        <v>681</v>
      </c>
      <c r="Q74" s="19"/>
      <c r="R74" s="1">
        <v>27616</v>
      </c>
      <c r="S74" s="1">
        <v>27318</v>
      </c>
      <c r="T74" s="1">
        <v>48707</v>
      </c>
      <c r="U74" s="1">
        <v>50737</v>
      </c>
      <c r="V74" s="1">
        <v>106034</v>
      </c>
      <c r="W74" s="1">
        <f t="shared" si="20"/>
        <v>260412</v>
      </c>
    </row>
    <row r="75" spans="2:23">
      <c r="C75" s="1">
        <v>29326</v>
      </c>
      <c r="D75" s="1">
        <v>25602</v>
      </c>
      <c r="E75" s="1">
        <v>44776</v>
      </c>
      <c r="F75" s="1">
        <v>48233</v>
      </c>
      <c r="G75" s="1">
        <v>109848</v>
      </c>
      <c r="H75" s="1">
        <f t="shared" si="21"/>
        <v>257785</v>
      </c>
      <c r="Q75" s="19"/>
      <c r="R75" s="1">
        <v>74</v>
      </c>
      <c r="S75" s="1">
        <v>35</v>
      </c>
      <c r="T75" s="1">
        <v>1</v>
      </c>
      <c r="U75" s="1">
        <v>24</v>
      </c>
      <c r="W75" s="1">
        <f t="shared" si="20"/>
        <v>134</v>
      </c>
    </row>
    <row r="76" spans="2:23">
      <c r="C76" s="1">
        <v>792</v>
      </c>
      <c r="H76" s="1">
        <f t="shared" si="21"/>
        <v>792</v>
      </c>
      <c r="Q76" s="19"/>
      <c r="R76" s="1">
        <v>11537</v>
      </c>
      <c r="S76" s="1">
        <v>14659</v>
      </c>
      <c r="T76" s="1">
        <v>17898</v>
      </c>
      <c r="U76" s="1">
        <v>21445</v>
      </c>
      <c r="V76" s="1">
        <v>13049</v>
      </c>
      <c r="W76" s="1">
        <f t="shared" si="20"/>
        <v>78588</v>
      </c>
    </row>
    <row r="77" spans="2:23">
      <c r="C77" s="1">
        <v>10127</v>
      </c>
      <c r="D77" s="1">
        <v>9031</v>
      </c>
      <c r="E77" s="1">
        <v>15148</v>
      </c>
      <c r="F77" s="1">
        <v>12768</v>
      </c>
      <c r="G77" s="1">
        <v>8717</v>
      </c>
      <c r="H77" s="1">
        <f t="shared" si="21"/>
        <v>55791</v>
      </c>
      <c r="Q77" s="19"/>
      <c r="R77" s="1">
        <v>100</v>
      </c>
      <c r="W77" s="1">
        <f t="shared" si="20"/>
        <v>100</v>
      </c>
    </row>
    <row r="78" spans="2:23">
      <c r="H78" s="1">
        <f t="shared" si="21"/>
        <v>0</v>
      </c>
      <c r="Q78" s="19"/>
      <c r="R78" s="1">
        <f>SUM(R71:R77)</f>
        <v>41264</v>
      </c>
      <c r="S78" s="1">
        <f t="shared" ref="S78" si="22">SUM(S71:S77)</f>
        <v>43651</v>
      </c>
      <c r="T78" s="1">
        <f t="shared" ref="T78" si="23">SUM(T71:T77)</f>
        <v>67330</v>
      </c>
      <c r="U78" s="1">
        <f t="shared" ref="U78" si="24">SUM(U71:U77)</f>
        <v>73232</v>
      </c>
      <c r="V78" s="1">
        <f t="shared" ref="V78" si="25">SUM(V71:V77)</f>
        <v>135348</v>
      </c>
      <c r="W78" s="1">
        <f t="shared" ref="W78" si="26">SUM(W71:W77)</f>
        <v>360825</v>
      </c>
    </row>
    <row r="79" spans="2:23">
      <c r="C79" s="1">
        <f>SUM(C72:C78)</f>
        <v>41357</v>
      </c>
      <c r="D79" s="1">
        <f t="shared" ref="D79:H79" si="27">SUM(D72:D78)</f>
        <v>35127</v>
      </c>
      <c r="E79" s="1">
        <f t="shared" si="27"/>
        <v>60248</v>
      </c>
      <c r="F79" s="1">
        <f t="shared" si="27"/>
        <v>61908</v>
      </c>
      <c r="G79" s="1">
        <f t="shared" si="27"/>
        <v>126803</v>
      </c>
      <c r="H79" s="1">
        <f t="shared" si="27"/>
        <v>325443</v>
      </c>
      <c r="Q79" s="19"/>
    </row>
    <row r="80" spans="2:23">
      <c r="Q80" s="19"/>
      <c r="W80" s="1">
        <f>W61+W71</f>
        <v>75381</v>
      </c>
    </row>
    <row r="81" spans="2:23">
      <c r="H81" s="1">
        <f>H62+H72</f>
        <v>78608</v>
      </c>
      <c r="Q81" s="19"/>
      <c r="W81" s="1">
        <f t="shared" ref="W81:W87" si="28">W62+W72</f>
        <v>327709</v>
      </c>
    </row>
    <row r="82" spans="2:23">
      <c r="H82" s="1">
        <f t="shared" ref="H82:H88" si="29">H63+H73</f>
        <v>346626</v>
      </c>
      <c r="Q82" s="19"/>
      <c r="W82" s="1">
        <f t="shared" si="28"/>
        <v>41349</v>
      </c>
    </row>
    <row r="83" spans="2:23">
      <c r="H83" s="1">
        <f t="shared" si="29"/>
        <v>43251</v>
      </c>
      <c r="Q83" s="19"/>
      <c r="W83" s="1">
        <f t="shared" si="28"/>
        <v>399217</v>
      </c>
    </row>
    <row r="84" spans="2:23">
      <c r="H84" s="1">
        <f t="shared" si="29"/>
        <v>392784</v>
      </c>
      <c r="Q84" s="19"/>
      <c r="W84" s="1">
        <f t="shared" si="28"/>
        <v>28187</v>
      </c>
    </row>
    <row r="85" spans="2:23">
      <c r="H85" s="1">
        <f t="shared" si="29"/>
        <v>13454</v>
      </c>
      <c r="Q85" s="19"/>
      <c r="W85" s="1">
        <f t="shared" si="28"/>
        <v>90267</v>
      </c>
    </row>
    <row r="86" spans="2:23">
      <c r="H86" s="1">
        <f t="shared" si="29"/>
        <v>63317</v>
      </c>
      <c r="Q86" s="19"/>
      <c r="W86" s="1">
        <f t="shared" si="28"/>
        <v>1404</v>
      </c>
    </row>
    <row r="87" spans="2:23">
      <c r="H87" s="1">
        <f t="shared" si="29"/>
        <v>0</v>
      </c>
      <c r="Q87" s="19"/>
      <c r="W87" s="1">
        <f t="shared" si="28"/>
        <v>963514</v>
      </c>
    </row>
    <row r="88" spans="2:23">
      <c r="H88" s="1">
        <f t="shared" si="29"/>
        <v>938040</v>
      </c>
      <c r="Q88" s="19" t="s">
        <v>122</v>
      </c>
    </row>
    <row r="89" spans="2:23">
      <c r="B89" s="19" t="s">
        <v>122</v>
      </c>
      <c r="Q89" s="19"/>
      <c r="R89" s="1">
        <v>5717</v>
      </c>
      <c r="S89" s="1">
        <v>38720</v>
      </c>
      <c r="T89" s="1">
        <v>1355</v>
      </c>
      <c r="U89" s="1">
        <v>540</v>
      </c>
      <c r="V89" s="1">
        <v>335</v>
      </c>
      <c r="W89" s="1">
        <f>SUM(R89:V89)</f>
        <v>46667</v>
      </c>
    </row>
    <row r="90" spans="2:23">
      <c r="C90" s="1">
        <v>5906</v>
      </c>
      <c r="D90" s="1">
        <v>39610</v>
      </c>
      <c r="E90" s="1">
        <v>1120</v>
      </c>
      <c r="F90" s="1">
        <v>672</v>
      </c>
      <c r="G90" s="1">
        <v>351</v>
      </c>
      <c r="H90" s="1">
        <f>SUM(C90:G90)</f>
        <v>47659</v>
      </c>
      <c r="Q90" s="19"/>
      <c r="R90" s="1">
        <v>1013</v>
      </c>
      <c r="W90" s="1">
        <f t="shared" ref="W90:W98" si="30">SUM(R90:V90)</f>
        <v>1013</v>
      </c>
    </row>
    <row r="91" spans="2:23">
      <c r="C91" s="1">
        <v>636</v>
      </c>
      <c r="H91" s="1">
        <f t="shared" ref="H91:H99" si="31">SUM(C91:G91)</f>
        <v>636</v>
      </c>
      <c r="Q91" s="19"/>
      <c r="R91" s="1">
        <v>312921</v>
      </c>
      <c r="S91" s="1">
        <v>80114</v>
      </c>
      <c r="T91" s="1">
        <v>7605</v>
      </c>
      <c r="U91" s="1">
        <v>4253</v>
      </c>
      <c r="V91" s="1">
        <v>5304</v>
      </c>
      <c r="W91" s="1">
        <f t="shared" si="30"/>
        <v>410197</v>
      </c>
    </row>
    <row r="92" spans="2:23">
      <c r="C92" s="1">
        <v>317963</v>
      </c>
      <c r="D92" s="1">
        <v>86081</v>
      </c>
      <c r="E92" s="1">
        <v>5305</v>
      </c>
      <c r="F92" s="1">
        <v>3023</v>
      </c>
      <c r="G92" s="1">
        <v>4528</v>
      </c>
      <c r="H92" s="1">
        <f t="shared" si="31"/>
        <v>416900</v>
      </c>
      <c r="Q92" s="19"/>
      <c r="R92" s="1">
        <v>5729</v>
      </c>
      <c r="S92" s="1">
        <v>11683</v>
      </c>
      <c r="T92" s="1">
        <v>3479</v>
      </c>
      <c r="U92" s="1">
        <v>1975</v>
      </c>
      <c r="V92" s="1">
        <v>876</v>
      </c>
      <c r="W92" s="1">
        <f t="shared" si="30"/>
        <v>23742</v>
      </c>
    </row>
    <row r="93" spans="2:23">
      <c r="C93" s="1">
        <v>5480</v>
      </c>
      <c r="D93" s="1">
        <v>9235</v>
      </c>
      <c r="E93" s="1">
        <v>1934</v>
      </c>
      <c r="F93" s="1">
        <v>917</v>
      </c>
      <c r="G93" s="1">
        <v>1326</v>
      </c>
      <c r="H93" s="1">
        <f t="shared" si="31"/>
        <v>18892</v>
      </c>
      <c r="Q93" s="19"/>
      <c r="R93" s="1">
        <v>33967</v>
      </c>
      <c r="W93" s="1">
        <f t="shared" si="30"/>
        <v>33967</v>
      </c>
    </row>
    <row r="94" spans="2:23">
      <c r="C94" s="1">
        <v>34687</v>
      </c>
      <c r="H94" s="1">
        <f t="shared" si="31"/>
        <v>34687</v>
      </c>
      <c r="Q94" s="19"/>
      <c r="R94" s="1">
        <v>20051</v>
      </c>
      <c r="S94" s="1">
        <v>32453</v>
      </c>
      <c r="T94" s="1">
        <v>3152</v>
      </c>
      <c r="U94" s="1">
        <v>3470</v>
      </c>
      <c r="V94" s="1">
        <v>2317</v>
      </c>
      <c r="W94" s="1">
        <f t="shared" si="30"/>
        <v>61443</v>
      </c>
    </row>
    <row r="95" spans="2:23">
      <c r="C95" s="1">
        <v>15285</v>
      </c>
      <c r="D95" s="1">
        <v>41583</v>
      </c>
      <c r="E95" s="1">
        <v>3970</v>
      </c>
      <c r="F95" s="1">
        <v>4112</v>
      </c>
      <c r="G95" s="1">
        <v>1827</v>
      </c>
      <c r="H95" s="1">
        <f t="shared" si="31"/>
        <v>66777</v>
      </c>
      <c r="Q95" s="19"/>
      <c r="R95" s="1">
        <v>323786</v>
      </c>
      <c r="S95" s="1">
        <v>80</v>
      </c>
      <c r="T95" s="1">
        <v>92</v>
      </c>
      <c r="U95" s="1">
        <v>49</v>
      </c>
      <c r="V95" s="1">
        <v>49</v>
      </c>
      <c r="W95" s="1">
        <f t="shared" si="30"/>
        <v>324056</v>
      </c>
    </row>
    <row r="96" spans="2:23">
      <c r="C96" s="1">
        <v>339646</v>
      </c>
      <c r="D96" s="1">
        <v>4</v>
      </c>
      <c r="G96" s="1">
        <v>2</v>
      </c>
      <c r="H96" s="1">
        <f t="shared" si="31"/>
        <v>339652</v>
      </c>
      <c r="Q96" s="19"/>
      <c r="R96" s="1">
        <v>50</v>
      </c>
      <c r="S96" s="1">
        <v>14270</v>
      </c>
      <c r="T96" s="1">
        <v>5615</v>
      </c>
      <c r="U96" s="1">
        <v>4322</v>
      </c>
      <c r="V96" s="1">
        <v>4469</v>
      </c>
      <c r="W96" s="1">
        <f t="shared" si="30"/>
        <v>28726</v>
      </c>
    </row>
    <row r="97" spans="2:23">
      <c r="C97" s="1">
        <v>27</v>
      </c>
      <c r="D97" s="1">
        <v>16731</v>
      </c>
      <c r="E97" s="1">
        <v>11713</v>
      </c>
      <c r="F97" s="1">
        <v>5902</v>
      </c>
      <c r="G97" s="1">
        <v>6867</v>
      </c>
      <c r="H97" s="1">
        <f t="shared" si="31"/>
        <v>41240</v>
      </c>
      <c r="Q97" s="19"/>
      <c r="R97" s="1">
        <v>2</v>
      </c>
      <c r="U97" s="1">
        <v>9</v>
      </c>
      <c r="V97" s="1">
        <v>28</v>
      </c>
      <c r="W97" s="1">
        <f t="shared" si="30"/>
        <v>39</v>
      </c>
    </row>
    <row r="98" spans="2:23">
      <c r="D98" s="1">
        <v>8</v>
      </c>
      <c r="G98" s="1">
        <v>1317</v>
      </c>
      <c r="H98" s="1">
        <f t="shared" si="31"/>
        <v>1325</v>
      </c>
      <c r="Q98" s="19"/>
      <c r="S98" s="1">
        <v>2685</v>
      </c>
      <c r="W98" s="1">
        <f t="shared" si="30"/>
        <v>2685</v>
      </c>
    </row>
    <row r="99" spans="2:23">
      <c r="H99" s="1">
        <f t="shared" si="31"/>
        <v>0</v>
      </c>
      <c r="Q99" s="19"/>
      <c r="R99" s="1">
        <f>SUM(R89:R98)</f>
        <v>703236</v>
      </c>
      <c r="S99" s="1">
        <f t="shared" ref="S99" si="32">SUM(S89:S98)</f>
        <v>180005</v>
      </c>
      <c r="T99" s="1">
        <f>SUM(T89:T98)</f>
        <v>21298</v>
      </c>
      <c r="U99" s="1">
        <f t="shared" ref="U99" si="33">SUM(U89:U98)</f>
        <v>14618</v>
      </c>
      <c r="V99" s="1">
        <f t="shared" ref="V99" si="34">SUM(V89:V98)</f>
        <v>13378</v>
      </c>
      <c r="W99" s="1">
        <f t="shared" ref="W99" si="35">SUM(W89:W98)</f>
        <v>932535</v>
      </c>
    </row>
    <row r="100" spans="2:23">
      <c r="C100" s="1">
        <f>SUM(C90:C99)</f>
        <v>719630</v>
      </c>
      <c r="D100" s="1">
        <f t="shared" ref="D100:H100" si="36">SUM(D90:D99)</f>
        <v>193252</v>
      </c>
      <c r="E100" s="1">
        <f t="shared" si="36"/>
        <v>24042</v>
      </c>
      <c r="F100" s="1">
        <f t="shared" si="36"/>
        <v>14626</v>
      </c>
      <c r="G100" s="1">
        <f t="shared" si="36"/>
        <v>16218</v>
      </c>
      <c r="H100" s="1">
        <f t="shared" si="36"/>
        <v>967768</v>
      </c>
      <c r="Q100" s="19"/>
    </row>
    <row r="101" spans="2:23">
      <c r="Q101" s="19" t="s">
        <v>123</v>
      </c>
    </row>
    <row r="102" spans="2:23">
      <c r="B102" s="19" t="s">
        <v>123</v>
      </c>
      <c r="Q102" s="19"/>
      <c r="R102" s="1">
        <v>97</v>
      </c>
      <c r="S102" s="1">
        <v>9</v>
      </c>
      <c r="T102" s="1">
        <v>67</v>
      </c>
      <c r="U102" s="1">
        <v>236</v>
      </c>
      <c r="V102" s="1">
        <v>4</v>
      </c>
      <c r="W102" s="1">
        <f>SUM(R102:V102)</f>
        <v>413</v>
      </c>
    </row>
    <row r="103" spans="2:23">
      <c r="C103" s="1">
        <v>193</v>
      </c>
      <c r="D103" s="1">
        <v>13</v>
      </c>
      <c r="E103" s="1">
        <v>328</v>
      </c>
      <c r="F103" s="1">
        <v>21</v>
      </c>
      <c r="H103" s="1">
        <f>SUM(C103:G103)</f>
        <v>555</v>
      </c>
      <c r="Q103" s="19"/>
      <c r="W103" s="1">
        <f t="shared" ref="W103:W111" si="37">SUM(R103:V103)</f>
        <v>0</v>
      </c>
    </row>
    <row r="104" spans="2:23">
      <c r="H104" s="1">
        <f t="shared" ref="H104:H112" si="38">SUM(C104:G104)</f>
        <v>0</v>
      </c>
      <c r="Q104" s="19"/>
      <c r="R104" s="1">
        <v>2845</v>
      </c>
      <c r="S104" s="1">
        <v>912</v>
      </c>
      <c r="T104" s="1">
        <v>1654</v>
      </c>
      <c r="U104" s="1">
        <v>622</v>
      </c>
      <c r="V104" s="1">
        <v>2012</v>
      </c>
      <c r="W104" s="1">
        <f t="shared" si="37"/>
        <v>8045</v>
      </c>
    </row>
    <row r="105" spans="2:23">
      <c r="C105" s="1">
        <v>2836</v>
      </c>
      <c r="D105" s="1">
        <v>1262</v>
      </c>
      <c r="E105" s="1">
        <v>1043</v>
      </c>
      <c r="F105" s="1">
        <v>441</v>
      </c>
      <c r="G105" s="1">
        <v>696</v>
      </c>
      <c r="H105" s="1">
        <f t="shared" si="38"/>
        <v>6278</v>
      </c>
      <c r="Q105" s="19"/>
      <c r="R105" s="1">
        <v>843</v>
      </c>
      <c r="S105" s="1">
        <v>52</v>
      </c>
      <c r="U105" s="1">
        <v>398</v>
      </c>
      <c r="W105" s="1">
        <f t="shared" si="37"/>
        <v>1293</v>
      </c>
    </row>
    <row r="106" spans="2:23">
      <c r="C106" s="1">
        <v>311</v>
      </c>
      <c r="E106" s="1">
        <v>83</v>
      </c>
      <c r="F106" s="1">
        <v>474</v>
      </c>
      <c r="H106" s="1">
        <f t="shared" si="38"/>
        <v>868</v>
      </c>
      <c r="Q106" s="19"/>
      <c r="W106" s="1">
        <f t="shared" si="37"/>
        <v>0</v>
      </c>
    </row>
    <row r="107" spans="2:23">
      <c r="H107" s="1">
        <f t="shared" si="38"/>
        <v>0</v>
      </c>
      <c r="Q107" s="19"/>
      <c r="R107" s="1">
        <v>6093</v>
      </c>
      <c r="S107" s="1">
        <v>5458</v>
      </c>
      <c r="T107" s="1">
        <v>7446</v>
      </c>
      <c r="U107" s="1">
        <v>4139</v>
      </c>
      <c r="V107" s="1">
        <v>5533</v>
      </c>
      <c r="W107" s="1">
        <f t="shared" si="37"/>
        <v>28669</v>
      </c>
    </row>
    <row r="108" spans="2:23">
      <c r="C108" s="1">
        <v>7540</v>
      </c>
      <c r="D108" s="1">
        <v>5762</v>
      </c>
      <c r="E108" s="1">
        <v>5773</v>
      </c>
      <c r="F108" s="1">
        <v>3588</v>
      </c>
      <c r="G108" s="1">
        <v>6591</v>
      </c>
      <c r="H108" s="1">
        <f t="shared" si="38"/>
        <v>29254</v>
      </c>
      <c r="Q108" s="19"/>
      <c r="R108" s="1">
        <v>42</v>
      </c>
      <c r="S108" s="1">
        <v>13</v>
      </c>
      <c r="T108" s="1">
        <v>57</v>
      </c>
      <c r="U108" s="1">
        <v>70</v>
      </c>
      <c r="V108" s="1">
        <v>14</v>
      </c>
      <c r="W108" s="1">
        <f t="shared" si="37"/>
        <v>196</v>
      </c>
    </row>
    <row r="109" spans="2:23">
      <c r="C109" s="1">
        <v>10</v>
      </c>
      <c r="D109" s="1">
        <v>34</v>
      </c>
      <c r="E109" s="1">
        <v>46</v>
      </c>
      <c r="F109" s="1">
        <v>75</v>
      </c>
      <c r="G109" s="1">
        <v>670</v>
      </c>
      <c r="H109" s="1">
        <f t="shared" si="38"/>
        <v>835</v>
      </c>
      <c r="Q109" s="19"/>
      <c r="R109" s="1">
        <v>10164</v>
      </c>
      <c r="S109" s="1">
        <v>4797</v>
      </c>
      <c r="T109" s="1">
        <v>13037</v>
      </c>
      <c r="U109" s="1">
        <v>10028</v>
      </c>
      <c r="V109" s="1">
        <v>2398</v>
      </c>
      <c r="W109" s="1">
        <f t="shared" si="37"/>
        <v>40424</v>
      </c>
    </row>
    <row r="110" spans="2:23">
      <c r="C110" s="1">
        <v>3166</v>
      </c>
      <c r="D110" s="1">
        <v>8069</v>
      </c>
      <c r="E110" s="1">
        <v>9186</v>
      </c>
      <c r="F110" s="1">
        <v>10152</v>
      </c>
      <c r="G110" s="1">
        <v>4119</v>
      </c>
      <c r="H110" s="1">
        <f t="shared" si="38"/>
        <v>34692</v>
      </c>
      <c r="Q110" s="19"/>
      <c r="R110" s="1">
        <v>1254</v>
      </c>
      <c r="S110" s="1">
        <v>2994</v>
      </c>
      <c r="T110" s="1">
        <v>2194</v>
      </c>
      <c r="U110" s="1">
        <v>8741</v>
      </c>
      <c r="V110" s="1">
        <v>6245</v>
      </c>
      <c r="W110" s="1">
        <f t="shared" si="37"/>
        <v>21428</v>
      </c>
    </row>
    <row r="111" spans="2:23">
      <c r="C111" s="1">
        <v>3230</v>
      </c>
      <c r="D111" s="1">
        <v>56</v>
      </c>
      <c r="E111" s="1">
        <v>7487</v>
      </c>
      <c r="F111" s="1">
        <v>6575</v>
      </c>
      <c r="G111" s="1">
        <v>4710</v>
      </c>
      <c r="H111" s="1">
        <f t="shared" si="38"/>
        <v>22058</v>
      </c>
      <c r="Q111" s="19"/>
      <c r="R111" s="1">
        <v>1075</v>
      </c>
      <c r="W111" s="1">
        <f t="shared" si="37"/>
        <v>1075</v>
      </c>
    </row>
    <row r="112" spans="2:23">
      <c r="H112" s="1">
        <f t="shared" si="38"/>
        <v>0</v>
      </c>
      <c r="Q112" s="19"/>
      <c r="R112" s="1">
        <f>SUM(R102:R111)</f>
        <v>22413</v>
      </c>
      <c r="S112" s="1">
        <f t="shared" ref="S112:V112" si="39">SUM(S102:S111)</f>
        <v>14235</v>
      </c>
      <c r="T112" s="1">
        <f t="shared" si="39"/>
        <v>24455</v>
      </c>
      <c r="U112" s="1">
        <f t="shared" si="39"/>
        <v>24234</v>
      </c>
      <c r="V112" s="1">
        <f t="shared" si="39"/>
        <v>16206</v>
      </c>
      <c r="W112" s="1">
        <f t="shared" ref="W112" si="40">SUM(W102:W111)</f>
        <v>101543</v>
      </c>
    </row>
    <row r="113" spans="3:23">
      <c r="C113" s="1">
        <f>SUM(C103:C112)</f>
        <v>17286</v>
      </c>
      <c r="D113" s="1">
        <f t="shared" ref="D113:H113" si="41">SUM(D103:D112)</f>
        <v>15196</v>
      </c>
      <c r="E113" s="1">
        <f t="shared" si="41"/>
        <v>23946</v>
      </c>
      <c r="F113" s="1">
        <f t="shared" si="41"/>
        <v>21326</v>
      </c>
      <c r="G113" s="1">
        <f t="shared" si="41"/>
        <v>16786</v>
      </c>
      <c r="H113" s="1">
        <f t="shared" si="41"/>
        <v>94540</v>
      </c>
      <c r="Q113" s="19"/>
    </row>
    <row r="114" spans="3:23">
      <c r="Q114" s="19"/>
      <c r="W114" s="1">
        <f>W89+W102</f>
        <v>47080</v>
      </c>
    </row>
    <row r="115" spans="3:23">
      <c r="H115" s="1">
        <f>H90+H103</f>
        <v>48214</v>
      </c>
      <c r="Q115" s="19"/>
      <c r="W115" s="1">
        <f t="shared" ref="W115:W123" si="42">W90+W103</f>
        <v>1013</v>
      </c>
    </row>
    <row r="116" spans="3:23">
      <c r="H116" s="1">
        <f t="shared" ref="H116:H124" si="43">H91+H104</f>
        <v>636</v>
      </c>
      <c r="Q116" s="19"/>
      <c r="W116" s="1">
        <f t="shared" si="42"/>
        <v>418242</v>
      </c>
    </row>
    <row r="117" spans="3:23">
      <c r="H117" s="1">
        <f t="shared" si="43"/>
        <v>423178</v>
      </c>
      <c r="Q117" s="19"/>
      <c r="W117" s="1">
        <f t="shared" si="42"/>
        <v>25035</v>
      </c>
    </row>
    <row r="118" spans="3:23">
      <c r="H118" s="1">
        <f t="shared" si="43"/>
        <v>19760</v>
      </c>
      <c r="Q118" s="19"/>
      <c r="W118" s="1">
        <f t="shared" si="42"/>
        <v>33967</v>
      </c>
    </row>
    <row r="119" spans="3:23">
      <c r="H119" s="1">
        <f t="shared" si="43"/>
        <v>34687</v>
      </c>
      <c r="Q119" s="19"/>
      <c r="W119" s="1">
        <f t="shared" si="42"/>
        <v>90112</v>
      </c>
    </row>
    <row r="120" spans="3:23">
      <c r="H120" s="1">
        <f t="shared" si="43"/>
        <v>96031</v>
      </c>
      <c r="Q120" s="19"/>
      <c r="W120" s="1">
        <f t="shared" si="42"/>
        <v>324252</v>
      </c>
    </row>
    <row r="121" spans="3:23">
      <c r="H121" s="1">
        <f t="shared" si="43"/>
        <v>340487</v>
      </c>
      <c r="Q121" s="19"/>
      <c r="W121" s="1">
        <f t="shared" si="42"/>
        <v>69150</v>
      </c>
    </row>
    <row r="122" spans="3:23">
      <c r="H122" s="1">
        <f t="shared" si="43"/>
        <v>75932</v>
      </c>
      <c r="Q122" s="19"/>
      <c r="W122" s="1">
        <f t="shared" si="42"/>
        <v>21467</v>
      </c>
    </row>
    <row r="123" spans="3:23">
      <c r="H123" s="1">
        <f t="shared" si="43"/>
        <v>23383</v>
      </c>
      <c r="Q123" s="19"/>
      <c r="W123" s="1">
        <f t="shared" si="42"/>
        <v>3760</v>
      </c>
    </row>
    <row r="124" spans="3:23">
      <c r="H124" s="1">
        <f t="shared" si="43"/>
        <v>0</v>
      </c>
      <c r="Q124" s="19"/>
      <c r="W124" s="1">
        <f>W99+W112</f>
        <v>1034078</v>
      </c>
    </row>
    <row r="125" spans="3:23">
      <c r="H125" s="1">
        <f>H100+H113</f>
        <v>1062308</v>
      </c>
      <c r="Q125" s="19"/>
    </row>
  </sheetData>
  <mergeCells count="3">
    <mergeCell ref="R2:T2"/>
    <mergeCell ref="R12:T12"/>
    <mergeCell ref="R22:T22"/>
  </mergeCells>
  <phoneticPr fontId="7" type="noConversion"/>
  <pageMargins left="0.75000000000000011" right="0.75000000000000011" top="1" bottom="1" header="0.5" footer="0.5"/>
  <pageSetup paperSize="9" scale="50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5"/>
  <sheetViews>
    <sheetView zoomScale="125" zoomScaleNormal="125" zoomScalePageLayoutView="125" workbookViewId="0">
      <selection activeCell="A52" sqref="A52:A55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103</v>
      </c>
      <c r="B2" s="19" t="s">
        <v>58</v>
      </c>
      <c r="D2" s="19" t="s">
        <v>58</v>
      </c>
      <c r="K2" s="19" t="s">
        <v>58</v>
      </c>
      <c r="L2" s="24" t="s">
        <v>99</v>
      </c>
      <c r="N2" s="24" t="s">
        <v>99</v>
      </c>
    </row>
    <row r="3" spans="1:14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49</v>
      </c>
      <c r="B6" s="23">
        <f>(C6-E6)/E6</f>
        <v>2.2951689405876972E-2</v>
      </c>
      <c r="C6" s="1">
        <v>25837.1</v>
      </c>
      <c r="D6" s="23">
        <f>(E6-G6)/G6</f>
        <v>0.12095686135274283</v>
      </c>
      <c r="E6" s="1">
        <v>25257.4</v>
      </c>
      <c r="F6" s="4"/>
      <c r="G6" s="1">
        <v>22532</v>
      </c>
      <c r="H6" s="4"/>
      <c r="I6" s="4"/>
      <c r="J6" s="1" t="s">
        <v>38</v>
      </c>
      <c r="K6" s="23">
        <f>(L6-N6)/N6</f>
        <v>7.8635833895602039E-2</v>
      </c>
      <c r="L6" s="1">
        <v>8792.5</v>
      </c>
      <c r="N6" s="1">
        <v>8151.5</v>
      </c>
    </row>
    <row r="7" spans="1:14">
      <c r="A7" s="1" t="s">
        <v>50</v>
      </c>
      <c r="B7" s="23" t="e">
        <f t="shared" ref="B7:B23" si="0">(C7-E7)/E7</f>
        <v>#DIV/0!</v>
      </c>
      <c r="C7" s="2"/>
      <c r="D7" s="23" t="e">
        <f t="shared" ref="D7:D23" si="1">(E7-G7)/G7</f>
        <v>#DIV/0!</v>
      </c>
      <c r="E7" s="2"/>
      <c r="G7" s="2"/>
      <c r="H7" s="4"/>
      <c r="I7" s="4"/>
      <c r="J7" s="1" t="s">
        <v>13</v>
      </c>
      <c r="K7" s="23">
        <f t="shared" ref="K7:K9" si="2">(L7-N7)/N7</f>
        <v>8.0362907336300929E-2</v>
      </c>
      <c r="L7" s="1">
        <v>3179.4</v>
      </c>
      <c r="N7" s="1">
        <v>2942.9</v>
      </c>
    </row>
    <row r="8" spans="1:14">
      <c r="A8" s="7" t="s">
        <v>51</v>
      </c>
      <c r="B8" s="23">
        <f t="shared" si="0"/>
        <v>2.2951689405876972E-2</v>
      </c>
      <c r="C8" s="1">
        <f>SUM(C6:C7)</f>
        <v>25837.1</v>
      </c>
      <c r="D8" s="23">
        <f t="shared" si="1"/>
        <v>0.12095686135274283</v>
      </c>
      <c r="E8" s="1">
        <f>SUM(E6:E7)</f>
        <v>25257.4</v>
      </c>
      <c r="G8" s="1">
        <f>SUM(G6:G7)</f>
        <v>22532</v>
      </c>
      <c r="H8" s="3"/>
      <c r="I8" s="3"/>
      <c r="J8" s="1" t="s">
        <v>14</v>
      </c>
      <c r="K8" s="23">
        <f t="shared" si="2"/>
        <v>0.10383428823270166</v>
      </c>
      <c r="L8" s="1">
        <v>3756.9</v>
      </c>
      <c r="N8" s="1">
        <v>3403.5</v>
      </c>
    </row>
    <row r="9" spans="1:14">
      <c r="A9" s="1" t="s">
        <v>1</v>
      </c>
      <c r="B9" s="23">
        <f t="shared" si="0"/>
        <v>8.8355731442548418E-3</v>
      </c>
      <c r="C9" s="2">
        <v>-7341.7</v>
      </c>
      <c r="D9" s="23">
        <f t="shared" si="1"/>
        <v>0.11947944067561952</v>
      </c>
      <c r="E9" s="2">
        <v>-7277.4</v>
      </c>
      <c r="F9" s="4"/>
      <c r="G9" s="2">
        <v>-6500.7</v>
      </c>
      <c r="H9" s="4"/>
      <c r="I9" s="4"/>
      <c r="J9" s="1" t="s">
        <v>39</v>
      </c>
      <c r="K9" s="23">
        <f t="shared" si="2"/>
        <v>-1.1092340547604589E-2</v>
      </c>
      <c r="L9" s="1">
        <f>9306.5+1</f>
        <v>9307.5</v>
      </c>
      <c r="N9" s="1">
        <f>9410.9+1</f>
        <v>9411.9</v>
      </c>
    </row>
    <row r="10" spans="1:14">
      <c r="A10" s="7" t="s">
        <v>2</v>
      </c>
      <c r="B10" s="23">
        <f t="shared" si="0"/>
        <v>2.8665183537263505E-2</v>
      </c>
      <c r="C10" s="1">
        <f>C8+C9</f>
        <v>18495.399999999998</v>
      </c>
      <c r="D10" s="23">
        <f t="shared" si="1"/>
        <v>0.12155595616076056</v>
      </c>
      <c r="E10" s="1">
        <f>E8+E9</f>
        <v>17980</v>
      </c>
      <c r="F10" s="3"/>
      <c r="G10" s="1">
        <f>G8+G9</f>
        <v>16031.3</v>
      </c>
      <c r="H10" s="4"/>
      <c r="I10" s="4"/>
      <c r="J10" s="1" t="s">
        <v>15</v>
      </c>
      <c r="K10" s="23">
        <f>(L10-N10)/N10</f>
        <v>7.3006022996893098E-4</v>
      </c>
      <c r="L10" s="1">
        <v>548.29999999999995</v>
      </c>
      <c r="N10" s="1">
        <v>547.9</v>
      </c>
    </row>
    <row r="11" spans="1:14">
      <c r="A11" s="1" t="s">
        <v>37</v>
      </c>
      <c r="B11" s="23" t="e">
        <f t="shared" si="0"/>
        <v>#DIV/0!</v>
      </c>
      <c r="D11" s="23" t="e">
        <f t="shared" si="1"/>
        <v>#DIV/0!</v>
      </c>
      <c r="H11" s="3"/>
      <c r="I11" s="3"/>
      <c r="J11" s="1" t="s">
        <v>16</v>
      </c>
      <c r="K11" s="23" t="e">
        <f>(L11-N11)/N11</f>
        <v>#DIV/0!</v>
      </c>
      <c r="L11" s="2"/>
      <c r="N11" s="2"/>
    </row>
    <row r="12" spans="1:14">
      <c r="A12" s="1" t="s">
        <v>3</v>
      </c>
      <c r="B12" s="23">
        <f t="shared" si="0"/>
        <v>7.0142299458506391E-2</v>
      </c>
      <c r="C12" s="1">
        <v>-849.8</v>
      </c>
      <c r="D12" s="23">
        <f t="shared" si="1"/>
        <v>4.4044175650802E-2</v>
      </c>
      <c r="E12" s="1">
        <v>-794.1</v>
      </c>
      <c r="F12" s="4"/>
      <c r="G12" s="1">
        <v>-760.6</v>
      </c>
      <c r="H12" s="4"/>
      <c r="I12" s="4"/>
      <c r="K12" s="23">
        <f>(L12-N12)/N12</f>
        <v>4.6075469075178691E-2</v>
      </c>
      <c r="L12" s="9">
        <f>SUM(L6:L11)</f>
        <v>25584.6</v>
      </c>
      <c r="N12" s="9">
        <f>SUM(N6:N11)</f>
        <v>24457.7</v>
      </c>
    </row>
    <row r="13" spans="1:14">
      <c r="A13" s="1" t="s">
        <v>4</v>
      </c>
      <c r="B13" s="23">
        <f t="shared" si="0"/>
        <v>2.4026816271038115E-2</v>
      </c>
      <c r="C13" s="1">
        <f>-7498.7-5607</f>
        <v>-13105.7</v>
      </c>
      <c r="D13" s="23">
        <f t="shared" si="1"/>
        <v>0.1246221441124781</v>
      </c>
      <c r="E13" s="1">
        <f>-7359.6-5438.6</f>
        <v>-12798.2</v>
      </c>
      <c r="G13" s="1">
        <f>-6558.9-4821.1</f>
        <v>-11380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0"/>
        <v>#DIV/0!</v>
      </c>
      <c r="D14" s="23" t="e">
        <f t="shared" si="1"/>
        <v>#DIV/0!</v>
      </c>
      <c r="H14" s="3"/>
      <c r="I14" s="3"/>
      <c r="J14" s="1" t="s">
        <v>40</v>
      </c>
      <c r="K14" s="23">
        <f t="shared" ref="K14:K15" si="3">(L14-N14)/N14</f>
        <v>0.10566640717826857</v>
      </c>
      <c r="L14" s="1">
        <v>2698.6</v>
      </c>
      <c r="N14" s="1">
        <v>2440.6999999999998</v>
      </c>
    </row>
    <row r="15" spans="1:14">
      <c r="A15" s="1" t="s">
        <v>33</v>
      </c>
      <c r="B15" s="23">
        <f t="shared" si="0"/>
        <v>1.8117890382626678</v>
      </c>
      <c r="C15" s="2">
        <v>-543.79999999999995</v>
      </c>
      <c r="D15" s="23">
        <f t="shared" si="1"/>
        <v>-0.37044270833333331</v>
      </c>
      <c r="E15" s="2">
        <v>-193.4</v>
      </c>
      <c r="F15" s="4"/>
      <c r="G15" s="2">
        <v>-307.2</v>
      </c>
      <c r="H15" s="4"/>
      <c r="I15" s="4"/>
      <c r="J15" s="1" t="s">
        <v>18</v>
      </c>
      <c r="K15" s="23">
        <f t="shared" si="3"/>
        <v>8.6583785869834992E-2</v>
      </c>
      <c r="L15" s="1">
        <v>3941.8</v>
      </c>
      <c r="N15" s="1">
        <v>3627.7</v>
      </c>
    </row>
    <row r="16" spans="1:14">
      <c r="A16" s="7" t="s">
        <v>5</v>
      </c>
      <c r="B16" s="23">
        <f t="shared" si="0"/>
        <v>-4.7254607443435952E-2</v>
      </c>
      <c r="C16" s="1">
        <f>SUM(C10:C15)</f>
        <v>3996.0999999999976</v>
      </c>
      <c r="D16" s="23">
        <f t="shared" si="1"/>
        <v>0.17044788614483108</v>
      </c>
      <c r="E16" s="1">
        <f>SUM(E10:E15)</f>
        <v>4194.3000000000011</v>
      </c>
      <c r="F16" s="3"/>
      <c r="G16" s="1">
        <f>SUM(G10:G15)</f>
        <v>3583.4999999999991</v>
      </c>
      <c r="H16" s="3"/>
      <c r="I16" s="3"/>
      <c r="J16" s="1" t="s">
        <v>19</v>
      </c>
      <c r="K16" s="23">
        <f>(L16-N16)/N16</f>
        <v>-7.0736488378605411E-2</v>
      </c>
      <c r="L16" s="1">
        <f>1420.4+238.8</f>
        <v>1659.2</v>
      </c>
      <c r="N16" s="1">
        <f>1486.9+298.6</f>
        <v>1785.5</v>
      </c>
    </row>
    <row r="17" spans="1:14">
      <c r="A17" s="1" t="s">
        <v>6</v>
      </c>
      <c r="B17" s="23">
        <f t="shared" si="0"/>
        <v>0.39855072463768115</v>
      </c>
      <c r="C17" s="1">
        <f>-32.6+39.1-25.8</f>
        <v>-19.3</v>
      </c>
      <c r="D17" s="23">
        <f t="shared" si="1"/>
        <v>-0.42975206611570249</v>
      </c>
      <c r="E17" s="1">
        <f>-23.7+55.6-45.7</f>
        <v>-13.8</v>
      </c>
      <c r="F17" s="4"/>
      <c r="G17" s="1">
        <f>-31.4+42.3-35.1</f>
        <v>-24.200000000000003</v>
      </c>
      <c r="J17" s="1" t="s">
        <v>53</v>
      </c>
      <c r="K17" s="23" t="e">
        <f>(L17-N17)/N17</f>
        <v>#DIV/0!</v>
      </c>
    </row>
    <row r="18" spans="1:14">
      <c r="A18" s="1" t="s">
        <v>7</v>
      </c>
      <c r="B18" s="23">
        <f t="shared" si="0"/>
        <v>1.6133763567028454E-2</v>
      </c>
      <c r="C18" s="2">
        <f>346.5-0.1</f>
        <v>346.4</v>
      </c>
      <c r="D18" s="23">
        <f t="shared" si="1"/>
        <v>7.3700787401574736E-2</v>
      </c>
      <c r="E18" s="2">
        <f>336.9+4</f>
        <v>340.9</v>
      </c>
      <c r="F18" s="4"/>
      <c r="G18" s="2">
        <f>331-13.5</f>
        <v>317.5</v>
      </c>
      <c r="J18" s="1" t="s">
        <v>78</v>
      </c>
      <c r="K18" s="23">
        <f>(L18-N18)/N18</f>
        <v>0.24732104586369485</v>
      </c>
      <c r="L18" s="1">
        <v>1746</v>
      </c>
      <c r="N18" s="1">
        <v>1399.8</v>
      </c>
    </row>
    <row r="19" spans="1:14">
      <c r="A19" s="7" t="s">
        <v>34</v>
      </c>
      <c r="B19" s="23">
        <f t="shared" si="0"/>
        <v>-4.3835980006193528E-2</v>
      </c>
      <c r="C19" s="1">
        <f>SUM(C16:C18)</f>
        <v>4323.1999999999971</v>
      </c>
      <c r="D19" s="23">
        <f t="shared" si="1"/>
        <v>0.16627115146512625</v>
      </c>
      <c r="E19" s="1">
        <f>SUM(E16:E18)</f>
        <v>4521.4000000000005</v>
      </c>
      <c r="F19" s="3"/>
      <c r="G19" s="1">
        <f>SUM(G16:G18)</f>
        <v>3876.7999999999993</v>
      </c>
      <c r="J19" s="1" t="s">
        <v>41</v>
      </c>
      <c r="K19" s="23" t="e">
        <f>(L19-N19)/N19</f>
        <v>#DIV/0!</v>
      </c>
      <c r="L19" s="2"/>
      <c r="N19" s="2"/>
    </row>
    <row r="20" spans="1:14">
      <c r="A20" s="1" t="s">
        <v>8</v>
      </c>
      <c r="B20" s="23">
        <f t="shared" si="0"/>
        <v>-6.7871453103280572E-3</v>
      </c>
      <c r="C20" s="2">
        <v>-1214.5999999999999</v>
      </c>
      <c r="D20" s="23">
        <f t="shared" si="1"/>
        <v>0.1007200720072008</v>
      </c>
      <c r="E20" s="2">
        <v>-1222.9000000000001</v>
      </c>
      <c r="F20" s="4"/>
      <c r="G20" s="2">
        <v>-1111</v>
      </c>
      <c r="K20" s="23">
        <f>(L20-N20)/N20</f>
        <v>8.5576580178739481E-2</v>
      </c>
      <c r="L20" s="1">
        <f>SUM(L14:L19)</f>
        <v>10045.6</v>
      </c>
      <c r="N20" s="1">
        <f>SUM(N14:N19)</f>
        <v>9253.6999999999989</v>
      </c>
    </row>
    <row r="21" spans="1:14">
      <c r="A21" s="7" t="s">
        <v>35</v>
      </c>
      <c r="B21" s="23">
        <f t="shared" si="0"/>
        <v>-5.7571623465212447E-2</v>
      </c>
      <c r="C21" s="9">
        <f>SUM(C19:C20)</f>
        <v>3108.5999999999972</v>
      </c>
      <c r="D21" s="23">
        <f t="shared" si="1"/>
        <v>0.1926025019885752</v>
      </c>
      <c r="E21" s="9">
        <f>SUM(E19:E20)</f>
        <v>3298.5000000000005</v>
      </c>
      <c r="F21" s="3"/>
      <c r="G21" s="9">
        <f>SUM(G19:G20)</f>
        <v>2765.7999999999993</v>
      </c>
    </row>
    <row r="22" spans="1:14" ht="16" thickBot="1">
      <c r="A22" s="1" t="s">
        <v>36</v>
      </c>
      <c r="B22" s="23" t="e">
        <f t="shared" si="0"/>
        <v>#DIV/0!</v>
      </c>
      <c r="D22" s="23">
        <f t="shared" si="1"/>
        <v>-1</v>
      </c>
      <c r="G22" s="1">
        <v>2142.6999999999998</v>
      </c>
      <c r="J22" s="10" t="s">
        <v>20</v>
      </c>
      <c r="K22" s="23">
        <f>(L22-N22)/N22</f>
        <v>5.6918431153852866E-2</v>
      </c>
      <c r="L22" s="5">
        <f>L20+L12</f>
        <v>35630.199999999997</v>
      </c>
      <c r="N22" s="5">
        <f>N20+N12</f>
        <v>33711.4</v>
      </c>
    </row>
    <row r="23" spans="1:14" ht="17" thickTop="1" thickBot="1">
      <c r="A23" s="7" t="s">
        <v>9</v>
      </c>
      <c r="B23" s="23">
        <f t="shared" si="0"/>
        <v>-5.7571623465212447E-2</v>
      </c>
      <c r="C23" s="5">
        <f>SUM(C21:C22)</f>
        <v>3108.5999999999972</v>
      </c>
      <c r="D23" s="23">
        <f t="shared" si="1"/>
        <v>-0.32800244473871831</v>
      </c>
      <c r="E23" s="5">
        <f>SUM(E21:E22)</f>
        <v>3298.5000000000005</v>
      </c>
      <c r="G23" s="5">
        <f>SUM(G21:G22)</f>
        <v>4908.4999999999991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>
        <f>C10/C6</f>
        <v>0.71584659269035611</v>
      </c>
      <c r="E26" s="12">
        <f>E10/E6</f>
        <v>0.71187058050313967</v>
      </c>
      <c r="G26" s="12">
        <f>G10/G6</f>
        <v>0.71149032487129416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>
        <f>C16/C6</f>
        <v>0.15466519075283208</v>
      </c>
      <c r="E27" s="12">
        <f>E16/E6</f>
        <v>0.16606222334840487</v>
      </c>
      <c r="G27" s="12">
        <f>G16/G6</f>
        <v>0.15904047576779687</v>
      </c>
      <c r="J27" s="1" t="s">
        <v>54</v>
      </c>
      <c r="K27" s="23">
        <f t="shared" ref="K27:K28" si="4">(L27-N27)/N27</f>
        <v>0.66491228070175445</v>
      </c>
      <c r="L27" s="1">
        <v>1233.7</v>
      </c>
      <c r="N27" s="1">
        <v>741</v>
      </c>
    </row>
    <row r="28" spans="1:14">
      <c r="A28" s="1" t="s">
        <v>67</v>
      </c>
      <c r="B28" s="19" t="s">
        <v>63</v>
      </c>
      <c r="C28" s="12">
        <f>C23/C6</f>
        <v>0.12031536047002168</v>
      </c>
      <c r="E28" s="12">
        <f>E23/E6</f>
        <v>0.1305953898659403</v>
      </c>
      <c r="G28" s="12">
        <f>G23/G6</f>
        <v>0.21784573051659858</v>
      </c>
      <c r="J28" s="1" t="s">
        <v>22</v>
      </c>
      <c r="K28" s="23">
        <f t="shared" si="4"/>
        <v>5.2430643929753121E-2</v>
      </c>
      <c r="L28" s="1">
        <v>4135</v>
      </c>
      <c r="N28" s="1">
        <v>3929</v>
      </c>
    </row>
    <row r="29" spans="1:14">
      <c r="A29" s="1" t="s">
        <v>68</v>
      </c>
      <c r="B29" s="19" t="s">
        <v>63</v>
      </c>
      <c r="C29" s="12">
        <f>C23/L42</f>
        <v>0.12686092066601359</v>
      </c>
      <c r="E29" s="12">
        <f>E23/N42</f>
        <v>0.1396663420417496</v>
      </c>
      <c r="G29" s="12"/>
      <c r="J29" s="1" t="s">
        <v>55</v>
      </c>
      <c r="K29" s="23">
        <f>(L29-N29)/N29</f>
        <v>0.14022383146807099</v>
      </c>
      <c r="L29" s="1">
        <v>173.2</v>
      </c>
      <c r="N29" s="1">
        <v>151.9</v>
      </c>
    </row>
    <row r="30" spans="1:14">
      <c r="A30" s="1" t="s">
        <v>69</v>
      </c>
      <c r="B30" s="19" t="s">
        <v>63</v>
      </c>
      <c r="C30" s="12">
        <f>(C16+C18)/(L42+L36)</f>
        <v>0.17699277355929705</v>
      </c>
      <c r="E30" s="12">
        <f>(E16+E18)/(L42+N36)</f>
        <v>0.18477233466966531</v>
      </c>
      <c r="G30" s="12"/>
      <c r="J30" s="1" t="s">
        <v>23</v>
      </c>
      <c r="K30" s="23">
        <f>(L30-N30)/N30</f>
        <v>7.5198938992042497E-2</v>
      </c>
      <c r="L30" s="1">
        <v>810.7</v>
      </c>
      <c r="N30" s="1">
        <v>754</v>
      </c>
    </row>
    <row r="31" spans="1:14">
      <c r="J31" s="1" t="s">
        <v>24</v>
      </c>
      <c r="K31" s="23">
        <f>(L31-N31)/N31</f>
        <v>9.8987410002695064E-2</v>
      </c>
      <c r="L31" s="1">
        <v>2854.4</v>
      </c>
      <c r="N31" s="1">
        <v>2597.3000000000002</v>
      </c>
    </row>
    <row r="32" spans="1:14">
      <c r="A32" s="8" t="s">
        <v>31</v>
      </c>
      <c r="B32" s="20"/>
      <c r="J32" s="1" t="s">
        <v>42</v>
      </c>
      <c r="K32" s="23" t="e">
        <f>(L32-N32)/N32</f>
        <v>#DIV/0!</v>
      </c>
      <c r="L32" s="2"/>
      <c r="N32" s="2"/>
    </row>
    <row r="33" spans="1:14">
      <c r="A33" s="1" t="s">
        <v>70</v>
      </c>
      <c r="B33" s="19" t="s">
        <v>71</v>
      </c>
      <c r="C33" s="13">
        <f>L20/L33</f>
        <v>1.091082871728033</v>
      </c>
      <c r="E33" s="13">
        <f>N20/N33</f>
        <v>1.132200362159252</v>
      </c>
      <c r="G33" s="13"/>
      <c r="K33" s="23">
        <f>(L33-N33)/N33</f>
        <v>0.12648656584936135</v>
      </c>
      <c r="L33" s="1">
        <f>SUM(L27:L32)</f>
        <v>9207</v>
      </c>
      <c r="N33" s="1">
        <f>SUM(N27:N32)</f>
        <v>8173.2</v>
      </c>
    </row>
    <row r="34" spans="1:14">
      <c r="A34" s="1" t="s">
        <v>72</v>
      </c>
      <c r="B34" s="19" t="s">
        <v>71</v>
      </c>
      <c r="C34" s="13">
        <f>(L20-L14)/L33</f>
        <v>0.79797979797979801</v>
      </c>
      <c r="E34" s="13">
        <f>(N20-N14)/N33</f>
        <v>0.83357803553075893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>
        <f t="shared" ref="K36:K38" si="5">(L36-N36)/N36</f>
        <v>-0.24264705882352938</v>
      </c>
      <c r="L36" s="1">
        <v>30.9</v>
      </c>
      <c r="N36" s="1">
        <v>40.799999999999997</v>
      </c>
    </row>
    <row r="37" spans="1:14">
      <c r="A37" s="1" t="s">
        <v>73</v>
      </c>
      <c r="B37" s="19" t="s">
        <v>62</v>
      </c>
      <c r="C37" s="13">
        <f>C6/L12</f>
        <v>1.0098692182015745</v>
      </c>
      <c r="E37" s="13">
        <f>E6/N12</f>
        <v>1.0326972691626768</v>
      </c>
      <c r="G37" s="13"/>
      <c r="J37" s="1" t="s">
        <v>23</v>
      </c>
      <c r="K37" s="23">
        <f t="shared" si="5"/>
        <v>0.70137825421133237</v>
      </c>
      <c r="L37" s="1">
        <v>333.3</v>
      </c>
      <c r="N37" s="1">
        <v>195.9</v>
      </c>
    </row>
    <row r="38" spans="1:14">
      <c r="A38" s="1" t="s">
        <v>74</v>
      </c>
      <c r="B38" s="19" t="s">
        <v>75</v>
      </c>
      <c r="C38" s="1">
        <f>(L14/C9)*365*-1</f>
        <v>134.16361333206206</v>
      </c>
      <c r="E38" s="1">
        <f>(N14/E9)*365*-1</f>
        <v>122.41398026767801</v>
      </c>
      <c r="J38" s="1" t="s">
        <v>79</v>
      </c>
      <c r="K38" s="23">
        <f t="shared" si="5"/>
        <v>-3.8663321167883187E-2</v>
      </c>
      <c r="L38" s="1">
        <v>842.9</v>
      </c>
      <c r="N38" s="1">
        <v>876.8</v>
      </c>
    </row>
    <row r="39" spans="1:14">
      <c r="A39" s="1" t="s">
        <v>76</v>
      </c>
      <c r="B39" s="19" t="s">
        <v>62</v>
      </c>
      <c r="C39" s="18">
        <f>C9/L14*-1</f>
        <v>2.7205588082709555</v>
      </c>
      <c r="E39" s="18">
        <f>E9/N14*-1</f>
        <v>2.9816855820051624</v>
      </c>
      <c r="G39" s="18"/>
      <c r="J39" s="1" t="s">
        <v>26</v>
      </c>
      <c r="K39" s="23">
        <f>(L39-N39)/N39</f>
        <v>-0.11796778190830241</v>
      </c>
      <c r="L39" s="1">
        <v>711.8</v>
      </c>
      <c r="N39" s="1">
        <v>807</v>
      </c>
    </row>
    <row r="40" spans="1:14">
      <c r="A40" s="1" t="s">
        <v>43</v>
      </c>
      <c r="B40" s="19" t="s">
        <v>75</v>
      </c>
      <c r="C40" s="18">
        <f>(L15-(L15*20%))/C6*365</f>
        <v>44.548560016410512</v>
      </c>
      <c r="E40" s="18">
        <f>(N15-(N15*20%))/E6*365</f>
        <v>41.939724595564073</v>
      </c>
      <c r="G40" s="18"/>
      <c r="J40" s="1" t="s">
        <v>16</v>
      </c>
      <c r="K40" s="23" t="e">
        <f>(L40-N40)/N40</f>
        <v>#DIV/0!</v>
      </c>
      <c r="L40" s="2"/>
      <c r="N40" s="2"/>
    </row>
    <row r="41" spans="1:14">
      <c r="A41" s="1" t="s">
        <v>44</v>
      </c>
      <c r="B41" s="19" t="s">
        <v>75</v>
      </c>
      <c r="C41" s="18">
        <f>(L28-(L28*20%))/C9*365*-1</f>
        <v>164.46054728468883</v>
      </c>
      <c r="E41" s="18">
        <f>(N28-(N28*20%))/E9*365*-1</f>
        <v>157.64806112072992</v>
      </c>
      <c r="G41" s="18"/>
      <c r="L41" s="1">
        <f>SUM(L36:L40)</f>
        <v>1918.8999999999999</v>
      </c>
      <c r="N41" s="1">
        <f>SUM(N36:N40)</f>
        <v>1920.5</v>
      </c>
    </row>
    <row r="42" spans="1:14">
      <c r="J42" s="1" t="s">
        <v>27</v>
      </c>
      <c r="K42" s="23">
        <f t="shared" ref="K42:K43" si="6">(L42-N42)/N42</f>
        <v>3.7557691493415757E-2</v>
      </c>
      <c r="L42" s="1">
        <f>24501.9+2.1</f>
        <v>24504</v>
      </c>
      <c r="N42" s="1">
        <f>23613.9+3.1</f>
        <v>23617</v>
      </c>
    </row>
    <row r="43" spans="1:14" ht="16" thickBot="1">
      <c r="A43" s="8" t="s">
        <v>46</v>
      </c>
      <c r="B43" s="20"/>
      <c r="J43" s="1" t="s">
        <v>28</v>
      </c>
      <c r="K43" s="23">
        <f t="shared" si="6"/>
        <v>5.6931478729305665E-2</v>
      </c>
      <c r="L43" s="5">
        <f>L33+L41+L42</f>
        <v>35629.9</v>
      </c>
      <c r="N43" s="5">
        <f>N33+N41+N42</f>
        <v>33710.699999999997</v>
      </c>
    </row>
    <row r="44" spans="1:14" ht="16" thickTop="1">
      <c r="A44" s="1" t="s">
        <v>91</v>
      </c>
      <c r="B44" s="19" t="s">
        <v>80</v>
      </c>
      <c r="C44" s="15">
        <f>C23/(L46/1000000)</f>
        <v>5.5591089172947914</v>
      </c>
      <c r="E44" s="15">
        <f>E23/(N46/1000000)</f>
        <v>5.9181711404691324</v>
      </c>
      <c r="G44" s="15"/>
    </row>
    <row r="45" spans="1:14">
      <c r="A45" s="1" t="s">
        <v>81</v>
      </c>
      <c r="B45" s="19" t="s">
        <v>62</v>
      </c>
      <c r="C45" s="13">
        <f>L47/C44</f>
        <v>31.183793867866889</v>
      </c>
      <c r="E45" s="13">
        <f>N47/E44</f>
        <v>26.231816362764455</v>
      </c>
      <c r="G45" s="13"/>
    </row>
    <row r="46" spans="1:14">
      <c r="A46" s="1" t="s">
        <v>92</v>
      </c>
      <c r="B46" s="19" t="s">
        <v>62</v>
      </c>
      <c r="C46" s="1">
        <f>C44/L49</f>
        <v>1.001641246359422</v>
      </c>
      <c r="E46" s="1">
        <f>E44/N49</f>
        <v>0.99969107102519128</v>
      </c>
      <c r="J46" s="1" t="s">
        <v>82</v>
      </c>
      <c r="K46" s="23">
        <f t="shared" ref="K46:K49" si="7">(L46-N46)/N46</f>
        <v>3.2997199633015618E-3</v>
      </c>
      <c r="L46" s="2">
        <v>559190339</v>
      </c>
      <c r="N46" s="2">
        <v>557351236</v>
      </c>
    </row>
    <row r="47" spans="1:14">
      <c r="A47" s="1" t="s">
        <v>93</v>
      </c>
      <c r="B47" s="19" t="s">
        <v>63</v>
      </c>
      <c r="C47" s="12">
        <f>L49/L47</f>
        <v>3.2015393866016421E-2</v>
      </c>
      <c r="E47" s="12">
        <f>N49/N47</f>
        <v>3.8133425859954231E-2</v>
      </c>
      <c r="G47" s="12"/>
      <c r="J47" s="1" t="s">
        <v>47</v>
      </c>
      <c r="K47" s="23">
        <f t="shared" si="7"/>
        <v>0.11665303551536048</v>
      </c>
      <c r="L47" s="16">
        <f>L54</f>
        <v>173.35410656594146</v>
      </c>
      <c r="N47" s="17">
        <f>N54</f>
        <v>155.24437856019856</v>
      </c>
    </row>
    <row r="48" spans="1:14">
      <c r="A48" s="1" t="s">
        <v>90</v>
      </c>
      <c r="B48" s="19" t="s">
        <v>64</v>
      </c>
      <c r="C48" s="13">
        <f>L36/(L42+L36)</f>
        <v>1.2594304439798002E-3</v>
      </c>
      <c r="E48" s="13">
        <f>N36/(N42+N36)</f>
        <v>1.7245897758878677E-3</v>
      </c>
      <c r="G48" s="13"/>
      <c r="J48" s="1" t="s">
        <v>87</v>
      </c>
      <c r="K48" s="23">
        <f t="shared" si="7"/>
        <v>0.11441647597254004</v>
      </c>
      <c r="L48" s="2">
        <v>97.4</v>
      </c>
      <c r="N48" s="2">
        <v>87.4</v>
      </c>
    </row>
    <row r="49" spans="1:15">
      <c r="A49" s="1" t="s">
        <v>94</v>
      </c>
      <c r="B49" s="19" t="s">
        <v>62</v>
      </c>
      <c r="C49" s="13">
        <f>(C16+C18)/C17*-1</f>
        <v>224.99999999999986</v>
      </c>
      <c r="E49" s="13">
        <f>(E16+E18)/E17*-1</f>
        <v>328.63768115942031</v>
      </c>
      <c r="G49" s="13">
        <f>(G16+G18)/G17*-1</f>
        <v>161.19834710743797</v>
      </c>
      <c r="J49" s="1" t="s">
        <v>57</v>
      </c>
      <c r="K49" s="23">
        <f t="shared" si="7"/>
        <v>-6.2500000000000014E-2</v>
      </c>
      <c r="L49" s="16">
        <v>5.55</v>
      </c>
      <c r="N49" s="16">
        <v>5.92</v>
      </c>
    </row>
    <row r="51" spans="1:15">
      <c r="A51" s="8" t="s">
        <v>32</v>
      </c>
      <c r="B51" s="20"/>
    </row>
    <row r="52" spans="1:15">
      <c r="A52" s="1" t="s">
        <v>107</v>
      </c>
      <c r="B52" s="19" t="s">
        <v>63</v>
      </c>
      <c r="C52" s="12">
        <f>C20/C19</f>
        <v>-0.28094929681717262</v>
      </c>
      <c r="E52" s="12">
        <f>E20/E19</f>
        <v>-0.270469323660813</v>
      </c>
      <c r="G52" s="12">
        <f>G20/G19</f>
        <v>-0.28657655798596787</v>
      </c>
      <c r="L52" s="1">
        <v>561855741</v>
      </c>
      <c r="N52" s="1">
        <v>562983348</v>
      </c>
      <c r="O52" s="1" t="s">
        <v>84</v>
      </c>
    </row>
    <row r="53" spans="1:15">
      <c r="A53" s="1" t="s">
        <v>108</v>
      </c>
      <c r="B53" s="19" t="s">
        <v>63</v>
      </c>
      <c r="C53" s="12">
        <f>C12/C6</f>
        <v>-3.2890688196430713E-2</v>
      </c>
      <c r="E53" s="12">
        <f>E12/E6</f>
        <v>-3.144029076627048E-2</v>
      </c>
      <c r="G53" s="12">
        <f>G12/G6</f>
        <v>-3.3756435292029117E-2</v>
      </c>
      <c r="L53" s="1">
        <v>97400000000</v>
      </c>
      <c r="N53" s="1">
        <v>87400000000</v>
      </c>
      <c r="O53" s="1" t="s">
        <v>85</v>
      </c>
    </row>
    <row r="54" spans="1:15">
      <c r="A54" s="1" t="s">
        <v>109</v>
      </c>
      <c r="B54" s="19" t="s">
        <v>63</v>
      </c>
      <c r="C54" s="12">
        <f>(L6+L7)/L22</f>
        <v>0.33600428849683694</v>
      </c>
      <c r="E54" s="12">
        <f>(N6+N7)/N22</f>
        <v>0.32909935511429367</v>
      </c>
      <c r="L54" s="1">
        <f>L53/L52</f>
        <v>173.35410656594146</v>
      </c>
      <c r="N54" s="1">
        <f>N53/N52</f>
        <v>155.24437856019856</v>
      </c>
      <c r="O54" s="1" t="s">
        <v>86</v>
      </c>
    </row>
    <row r="55" spans="1:15">
      <c r="A55" s="1" t="s">
        <v>110</v>
      </c>
      <c r="B55" s="19" t="s">
        <v>63</v>
      </c>
      <c r="C55" s="12">
        <f>(L6+L7)/L42</f>
        <v>0.48856921318968333</v>
      </c>
      <c r="E55" s="12">
        <f>(N6+N7)/N42</f>
        <v>0.46976330609306854</v>
      </c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5"/>
  <sheetViews>
    <sheetView zoomScale="125" zoomScaleNormal="125" zoomScalePageLayoutView="125" workbookViewId="0">
      <selection activeCell="A52" sqref="A52:A55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.83203125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104</v>
      </c>
      <c r="B2" s="19" t="s">
        <v>58</v>
      </c>
      <c r="D2" s="19" t="s">
        <v>58</v>
      </c>
      <c r="K2" s="19" t="s">
        <v>58</v>
      </c>
      <c r="L2" s="24" t="s">
        <v>99</v>
      </c>
      <c r="N2" s="24" t="s">
        <v>99</v>
      </c>
    </row>
    <row r="3" spans="1:14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</row>
    <row r="4" spans="1:14">
      <c r="A4" s="6" t="s">
        <v>0</v>
      </c>
      <c r="B4" s="20"/>
      <c r="J4" s="6" t="s">
        <v>11</v>
      </c>
      <c r="K4" s="20"/>
      <c r="L4" s="4" t="s">
        <v>88</v>
      </c>
      <c r="N4" s="4" t="s">
        <v>88</v>
      </c>
    </row>
    <row r="5" spans="1:14">
      <c r="C5" s="4" t="s">
        <v>88</v>
      </c>
      <c r="D5" s="3"/>
      <c r="E5" s="4" t="s">
        <v>88</v>
      </c>
      <c r="F5" s="3"/>
      <c r="G5" s="4" t="s">
        <v>88</v>
      </c>
      <c r="H5" s="3"/>
      <c r="I5" s="3"/>
      <c r="J5" s="8" t="s">
        <v>12</v>
      </c>
      <c r="K5" s="22"/>
    </row>
    <row r="6" spans="1:14">
      <c r="A6" s="1" t="s">
        <v>49</v>
      </c>
      <c r="B6" s="23">
        <f>(C6-E6)/E6</f>
        <v>7.7040040547389759E-3</v>
      </c>
      <c r="C6" s="1">
        <v>89469</v>
      </c>
      <c r="D6" s="23">
        <f>(E6-G6)/G6</f>
        <v>-3.0858402829323669E-2</v>
      </c>
      <c r="E6" s="1">
        <v>88785</v>
      </c>
      <c r="F6" s="4"/>
      <c r="G6" s="1">
        <v>91612</v>
      </c>
      <c r="H6" s="4"/>
      <c r="I6" s="4"/>
      <c r="J6" s="1" t="s">
        <v>38</v>
      </c>
      <c r="K6" s="23">
        <f>(L6-N6)/N6</f>
        <v>7.1707555230074455E-3</v>
      </c>
      <c r="L6" s="1">
        <v>33007</v>
      </c>
      <c r="N6" s="1">
        <v>32772</v>
      </c>
    </row>
    <row r="7" spans="1:14">
      <c r="A7" s="1" t="s">
        <v>50</v>
      </c>
      <c r="B7" s="23">
        <f t="shared" ref="B7:B23" si="0">(C7-E7)/E7</f>
        <v>6.3758389261744972E-2</v>
      </c>
      <c r="C7" s="2">
        <v>317</v>
      </c>
      <c r="D7" s="23">
        <f t="shared" ref="D7:D23" si="1">(E7-G7)/G7</f>
        <v>0.17786561264822134</v>
      </c>
      <c r="E7" s="2">
        <v>298</v>
      </c>
      <c r="G7" s="2">
        <v>253</v>
      </c>
      <c r="H7" s="4"/>
      <c r="I7" s="4"/>
      <c r="J7" s="1" t="s">
        <v>13</v>
      </c>
      <c r="K7" s="23">
        <f t="shared" ref="K7:K9" si="2">(L7-N7)/N7</f>
        <v>6.035558328134747E-2</v>
      </c>
      <c r="L7" s="1">
        <v>20397</v>
      </c>
      <c r="N7" s="1">
        <v>19236</v>
      </c>
    </row>
    <row r="8" spans="1:14">
      <c r="A8" s="7" t="s">
        <v>51</v>
      </c>
      <c r="B8" s="23">
        <f t="shared" si="0"/>
        <v>7.891516899969692E-3</v>
      </c>
      <c r="C8" s="1">
        <f>SUM(C6:C7)</f>
        <v>89786</v>
      </c>
      <c r="D8" s="23">
        <f t="shared" si="1"/>
        <v>-3.0283568279540631E-2</v>
      </c>
      <c r="E8" s="1">
        <f>SUM(E6:E7)</f>
        <v>89083</v>
      </c>
      <c r="G8" s="1">
        <f>SUM(G6:G7)</f>
        <v>91865</v>
      </c>
      <c r="H8" s="3"/>
      <c r="I8" s="3"/>
      <c r="J8" s="1" t="s">
        <v>14</v>
      </c>
      <c r="K8" s="23">
        <f t="shared" si="2"/>
        <v>3.6800120409391936E-2</v>
      </c>
      <c r="L8" s="1">
        <v>27554</v>
      </c>
      <c r="N8" s="1">
        <v>26576</v>
      </c>
    </row>
    <row r="9" spans="1:14">
      <c r="A9" s="1" t="s">
        <v>1</v>
      </c>
      <c r="B9" s="23">
        <f t="shared" si="0"/>
        <v>-1.1871227364185111E-2</v>
      </c>
      <c r="C9" s="2">
        <v>-44199</v>
      </c>
      <c r="D9" s="23">
        <f t="shared" si="1"/>
        <v>-5.9365339726200242E-2</v>
      </c>
      <c r="E9" s="2">
        <v>-44730</v>
      </c>
      <c r="F9" s="4"/>
      <c r="G9" s="2">
        <v>-47553</v>
      </c>
      <c r="H9" s="4"/>
      <c r="I9" s="4"/>
      <c r="J9" s="1" t="s">
        <v>39</v>
      </c>
      <c r="K9" s="23">
        <f t="shared" si="2"/>
        <v>0.16560238399318858</v>
      </c>
      <c r="L9" s="1">
        <f>10709+5719</f>
        <v>16428</v>
      </c>
      <c r="N9" s="1">
        <f>8675+5419</f>
        <v>14094</v>
      </c>
    </row>
    <row r="10" spans="1:14">
      <c r="A10" s="7" t="s">
        <v>2</v>
      </c>
      <c r="B10" s="23">
        <f t="shared" si="0"/>
        <v>2.7822244267580547E-2</v>
      </c>
      <c r="C10" s="1">
        <f>C8+C9</f>
        <v>45587</v>
      </c>
      <c r="D10" s="23">
        <f t="shared" si="1"/>
        <v>9.2525726665463085E-4</v>
      </c>
      <c r="E10" s="1">
        <f>E8+E9</f>
        <v>44353</v>
      </c>
      <c r="F10" s="3"/>
      <c r="G10" s="1">
        <f>G8+G9</f>
        <v>44312</v>
      </c>
      <c r="H10" s="4"/>
      <c r="I10" s="4"/>
      <c r="J10" s="1" t="s">
        <v>15</v>
      </c>
      <c r="K10" s="23">
        <f>(L10-N10)/N10</f>
        <v>0.24710894704808278</v>
      </c>
      <c r="L10" s="1">
        <v>2049</v>
      </c>
      <c r="N10" s="1">
        <v>1643</v>
      </c>
    </row>
    <row r="11" spans="1:14">
      <c r="A11" s="1" t="s">
        <v>37</v>
      </c>
      <c r="B11" s="23" t="e">
        <f>(C12-E11)/E11</f>
        <v>#DIV/0!</v>
      </c>
      <c r="D11" s="23" t="e">
        <f t="shared" si="1"/>
        <v>#DIV/0!</v>
      </c>
      <c r="H11" s="3"/>
      <c r="I11" s="3"/>
      <c r="J11" s="1" t="s">
        <v>16</v>
      </c>
      <c r="K11" s="23">
        <f>(L11-N11)/N11</f>
        <v>0.78902953586497893</v>
      </c>
      <c r="L11" s="2">
        <f>310+114</f>
        <v>424</v>
      </c>
      <c r="N11" s="2">
        <f>109+128</f>
        <v>237</v>
      </c>
    </row>
    <row r="12" spans="1:14">
      <c r="A12" s="1" t="s">
        <v>3</v>
      </c>
      <c r="B12" s="23">
        <f>(C12-E12)/E12</f>
        <v>3.4564958283671038E-2</v>
      </c>
      <c r="C12" s="1">
        <v>-1736</v>
      </c>
      <c r="D12" s="23">
        <f t="shared" si="1"/>
        <v>3.0712530712530713E-2</v>
      </c>
      <c r="E12" s="1">
        <v>-1678</v>
      </c>
      <c r="F12" s="4"/>
      <c r="G12" s="1">
        <v>-1628</v>
      </c>
      <c r="H12" s="4"/>
      <c r="I12" s="4"/>
      <c r="K12" s="23">
        <f>(L12-N12)/N12</f>
        <v>5.606083038981366E-2</v>
      </c>
      <c r="L12" s="9">
        <f>SUM(L6:L11)</f>
        <v>99859</v>
      </c>
      <c r="N12" s="9">
        <f>SUM(N6:N11)</f>
        <v>94558</v>
      </c>
    </row>
    <row r="13" spans="1:14">
      <c r="A13" s="1" t="s">
        <v>4</v>
      </c>
      <c r="B13" s="23">
        <f t="shared" si="0"/>
        <v>3.1456202213455298E-2</v>
      </c>
      <c r="C13" s="1">
        <f>-8059-21485</f>
        <v>-29544</v>
      </c>
      <c r="D13" s="23">
        <f t="shared" si="1"/>
        <v>2.7809674178268982E-2</v>
      </c>
      <c r="E13" s="1">
        <f>-7899-20744</f>
        <v>-28643</v>
      </c>
      <c r="G13" s="1">
        <f>-8217-19651</f>
        <v>-27868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0"/>
        <v>#DIV/0!</v>
      </c>
      <c r="D14" s="23" t="e">
        <f t="shared" si="1"/>
        <v>#DIV/0!</v>
      </c>
      <c r="H14" s="3"/>
      <c r="I14" s="3"/>
      <c r="J14" s="1" t="s">
        <v>40</v>
      </c>
      <c r="K14" s="23">
        <f t="shared" ref="K14:K15" si="3">(L14-N14)/N14</f>
        <v>3.0418250950570342E-2</v>
      </c>
      <c r="L14" s="1">
        <v>8401</v>
      </c>
      <c r="N14" s="1">
        <v>8153</v>
      </c>
    </row>
    <row r="15" spans="1:14">
      <c r="A15" s="1" t="s">
        <v>33</v>
      </c>
      <c r="B15" s="23">
        <f t="shared" si="0"/>
        <v>-0.29556650246305421</v>
      </c>
      <c r="C15" s="2">
        <f>99-713+354-884</f>
        <v>-1144</v>
      </c>
      <c r="D15" s="23">
        <f t="shared" si="1"/>
        <v>-0.58476093070825874</v>
      </c>
      <c r="E15" s="2">
        <f>78-728+126-1100</f>
        <v>-1624</v>
      </c>
      <c r="F15" s="4"/>
      <c r="G15" s="2">
        <f>110-907+154-3268</f>
        <v>-3911</v>
      </c>
      <c r="H15" s="4"/>
      <c r="I15" s="4"/>
      <c r="J15" s="1" t="s">
        <v>18</v>
      </c>
      <c r="K15" s="23">
        <f t="shared" si="3"/>
        <v>1.297747306562194E-2</v>
      </c>
      <c r="L15" s="1">
        <v>12411</v>
      </c>
      <c r="N15" s="1">
        <v>12252</v>
      </c>
    </row>
    <row r="16" spans="1:14">
      <c r="A16" s="7" t="s">
        <v>5</v>
      </c>
      <c r="B16" s="23">
        <f t="shared" si="0"/>
        <v>6.0847840103159252E-2</v>
      </c>
      <c r="C16" s="1">
        <f>SUM(C10:C15)</f>
        <v>13163</v>
      </c>
      <c r="D16" s="23">
        <f t="shared" si="1"/>
        <v>0.13782668500687759</v>
      </c>
      <c r="E16" s="1">
        <f>SUM(E10:E15)</f>
        <v>12408</v>
      </c>
      <c r="F16" s="3"/>
      <c r="G16" s="1">
        <f>SUM(G10:G15)</f>
        <v>10905</v>
      </c>
      <c r="H16" s="3"/>
      <c r="I16" s="3"/>
      <c r="J16" s="1" t="s">
        <v>19</v>
      </c>
      <c r="K16" s="23">
        <f>(L16-N16)/N16</f>
        <v>6.4102564102564097E-2</v>
      </c>
      <c r="L16" s="1">
        <f>573+550+786</f>
        <v>1909</v>
      </c>
      <c r="N16" s="1">
        <f>583+337+874</f>
        <v>1794</v>
      </c>
    </row>
    <row r="17" spans="1:14">
      <c r="A17" s="1" t="s">
        <v>6</v>
      </c>
      <c r="B17" s="23">
        <f t="shared" si="0"/>
        <v>2.0833333333333332E-2</v>
      </c>
      <c r="C17" s="1">
        <f>121-758</f>
        <v>-637</v>
      </c>
      <c r="D17" s="23">
        <f t="shared" si="1"/>
        <v>-2.0408163265306121E-2</v>
      </c>
      <c r="E17" s="1">
        <f>101-725</f>
        <v>-624</v>
      </c>
      <c r="F17" s="4"/>
      <c r="G17" s="1">
        <f>135-772</f>
        <v>-637</v>
      </c>
      <c r="J17" s="1" t="s">
        <v>53</v>
      </c>
      <c r="K17" s="23">
        <f>(L17-N17)/N17</f>
        <v>0.41802388707926169</v>
      </c>
      <c r="L17" s="1">
        <v>1306</v>
      </c>
      <c r="N17" s="1">
        <v>921</v>
      </c>
    </row>
    <row r="18" spans="1:14">
      <c r="A18" s="1" t="s">
        <v>7</v>
      </c>
      <c r="B18" s="23">
        <f t="shared" si="0"/>
        <v>-0.22064777327935223</v>
      </c>
      <c r="C18" s="2">
        <v>770</v>
      </c>
      <c r="D18" s="23">
        <f t="shared" si="1"/>
        <v>-0.87654629513932281</v>
      </c>
      <c r="E18" s="2">
        <v>988</v>
      </c>
      <c r="F18" s="4"/>
      <c r="G18" s="2">
        <v>8003</v>
      </c>
      <c r="J18" s="1" t="s">
        <v>78</v>
      </c>
      <c r="K18" s="23">
        <f>(L18-N18)/N18</f>
        <v>0.63595413595413597</v>
      </c>
      <c r="L18" s="1">
        <v>7990</v>
      </c>
      <c r="N18" s="1">
        <v>4884</v>
      </c>
    </row>
    <row r="19" spans="1:14">
      <c r="A19" s="7" t="s">
        <v>34</v>
      </c>
      <c r="B19" s="23">
        <f t="shared" si="0"/>
        <v>4.1027247103037894E-2</v>
      </c>
      <c r="C19" s="1">
        <f>SUM(C16:C18)</f>
        <v>13296</v>
      </c>
      <c r="D19" s="23">
        <f t="shared" si="1"/>
        <v>-0.30096874828963932</v>
      </c>
      <c r="E19" s="1">
        <f>SUM(E16:E18)</f>
        <v>12772</v>
      </c>
      <c r="F19" s="3"/>
      <c r="G19" s="1">
        <f>SUM(G16:G18)</f>
        <v>18271</v>
      </c>
      <c r="J19" s="1" t="s">
        <v>41</v>
      </c>
      <c r="K19" s="23">
        <f>(L19-N19)/N19</f>
        <v>-0.9825174825174825</v>
      </c>
      <c r="L19" s="2">
        <v>25</v>
      </c>
      <c r="N19" s="2">
        <v>1430</v>
      </c>
    </row>
    <row r="20" spans="1:14">
      <c r="A20" s="1" t="s">
        <v>8</v>
      </c>
      <c r="B20" s="23">
        <f t="shared" si="0"/>
        <v>0.33524962178517398</v>
      </c>
      <c r="C20" s="2">
        <v>-4413</v>
      </c>
      <c r="D20" s="23">
        <f t="shared" si="1"/>
        <v>-1.8414018414018414E-2</v>
      </c>
      <c r="E20" s="2">
        <v>-3305</v>
      </c>
      <c r="F20" s="4"/>
      <c r="G20" s="2">
        <v>-3367</v>
      </c>
      <c r="K20" s="23">
        <f>(L20-N20)/N20</f>
        <v>8.8605014608955632E-2</v>
      </c>
      <c r="L20" s="1">
        <f>SUM(L14:L19)</f>
        <v>32042</v>
      </c>
      <c r="N20" s="1">
        <f>SUM(N14:N19)</f>
        <v>29434</v>
      </c>
    </row>
    <row r="21" spans="1:14">
      <c r="A21" s="7" t="s">
        <v>35</v>
      </c>
      <c r="B21" s="23">
        <f t="shared" si="0"/>
        <v>-6.1687968733495302E-2</v>
      </c>
      <c r="C21" s="9">
        <f>SUM(C19:C20)</f>
        <v>8883</v>
      </c>
      <c r="D21" s="23">
        <f t="shared" si="1"/>
        <v>-0.36480139559849706</v>
      </c>
      <c r="E21" s="9">
        <f>SUM(E19:E20)</f>
        <v>9467</v>
      </c>
      <c r="F21" s="3"/>
      <c r="G21" s="9">
        <f>SUM(G19:G20)</f>
        <v>14904</v>
      </c>
    </row>
    <row r="22" spans="1:14" ht="16" thickBot="1">
      <c r="A22" s="1" t="s">
        <v>36</v>
      </c>
      <c r="B22" s="23" t="e">
        <f t="shared" si="0"/>
        <v>#DIV/0!</v>
      </c>
      <c r="D22" s="23" t="e">
        <f t="shared" si="1"/>
        <v>#DIV/0!</v>
      </c>
      <c r="J22" s="10" t="s">
        <v>20</v>
      </c>
      <c r="K22" s="23">
        <f>(L22-N22)/N22</f>
        <v>6.3786373314407382E-2</v>
      </c>
      <c r="L22" s="5">
        <f>L20+L12</f>
        <v>131901</v>
      </c>
      <c r="N22" s="5">
        <f>N20+N12</f>
        <v>123992</v>
      </c>
    </row>
    <row r="23" spans="1:14" ht="17" thickTop="1" thickBot="1">
      <c r="A23" s="7" t="s">
        <v>9</v>
      </c>
      <c r="B23" s="23">
        <f t="shared" si="0"/>
        <v>-6.1687968733495302E-2</v>
      </c>
      <c r="C23" s="5">
        <f>SUM(C21:C22)</f>
        <v>8883</v>
      </c>
      <c r="D23" s="23">
        <f t="shared" si="1"/>
        <v>-0.36480139559849706</v>
      </c>
      <c r="E23" s="5">
        <f>SUM(E21:E22)</f>
        <v>9467</v>
      </c>
      <c r="G23" s="5">
        <f>SUM(G21:G22)</f>
        <v>14904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>
        <f>C10/C6</f>
        <v>0.50952844001833042</v>
      </c>
      <c r="E26" s="12">
        <f>E10/E6</f>
        <v>0.49955510502900263</v>
      </c>
      <c r="G26" s="12">
        <f>G10/G6</f>
        <v>0.48369209273894248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>
        <f>C16/C6</f>
        <v>0.14712358470531692</v>
      </c>
      <c r="E27" s="12">
        <f>E16/E6</f>
        <v>0.13975333671228249</v>
      </c>
      <c r="G27" s="12">
        <f>G16/G6</f>
        <v>0.11903462428502816</v>
      </c>
      <c r="J27" s="1" t="s">
        <v>54</v>
      </c>
      <c r="K27" s="23">
        <f t="shared" ref="K27:K28" si="4">(L27-N27)/N27</f>
        <v>0.25848997819088171</v>
      </c>
      <c r="L27" s="1">
        <v>12118</v>
      </c>
      <c r="N27" s="1">
        <v>9629</v>
      </c>
    </row>
    <row r="28" spans="1:14">
      <c r="A28" s="1" t="s">
        <v>67</v>
      </c>
      <c r="B28" s="19" t="s">
        <v>63</v>
      </c>
      <c r="C28" s="12">
        <f>C23/C6</f>
        <v>9.9285786138215468E-2</v>
      </c>
      <c r="E28" s="12">
        <f>E23/E6</f>
        <v>0.10662837190966942</v>
      </c>
      <c r="G28" s="12">
        <f>G23/G6</f>
        <v>0.16268611098982666</v>
      </c>
      <c r="J28" s="1" t="s">
        <v>22</v>
      </c>
      <c r="K28" s="23">
        <f t="shared" si="4"/>
        <v>9.3379504636694449E-2</v>
      </c>
      <c r="L28" s="1">
        <v>18629</v>
      </c>
      <c r="N28" s="1">
        <v>17038</v>
      </c>
    </row>
    <row r="29" spans="1:14">
      <c r="A29" s="1" t="s">
        <v>68</v>
      </c>
      <c r="B29" s="19" t="s">
        <v>63</v>
      </c>
      <c r="C29" s="12">
        <f>C23/L42</f>
        <v>0.1346296661160031</v>
      </c>
      <c r="E29" s="12">
        <f>E23/N42</f>
        <v>0.14795423998999782</v>
      </c>
      <c r="G29" s="12"/>
      <c r="J29" s="1" t="s">
        <v>55</v>
      </c>
      <c r="K29" s="23">
        <f>(L29-N29)/N29</f>
        <v>8.6298932384341637E-2</v>
      </c>
      <c r="L29" s="1">
        <v>1221</v>
      </c>
      <c r="N29" s="1">
        <v>1124</v>
      </c>
    </row>
    <row r="30" spans="1:14">
      <c r="A30" s="1" t="s">
        <v>69</v>
      </c>
      <c r="B30" s="19" t="s">
        <v>63</v>
      </c>
      <c r="C30" s="12">
        <f>(C16+C18)/(L42+L36)</f>
        <v>0.18077901183309114</v>
      </c>
      <c r="E30" s="12">
        <f>(E16+E18)/(L42+N36)</f>
        <v>0.17266891804800083</v>
      </c>
      <c r="G30" s="12"/>
      <c r="J30" s="1" t="s">
        <v>23</v>
      </c>
      <c r="K30" s="23">
        <f>(L30-N30)/N30</f>
        <v>9.9290780141843976E-2</v>
      </c>
      <c r="L30" s="1">
        <v>620</v>
      </c>
      <c r="N30" s="1">
        <v>564</v>
      </c>
    </row>
    <row r="31" spans="1:14">
      <c r="J31" s="1" t="s">
        <v>24</v>
      </c>
      <c r="K31" s="23">
        <f>(L31-N31)/N31</f>
        <v>4.878568385172561E-2</v>
      </c>
      <c r="L31" s="1">
        <f>3855+1068</f>
        <v>4923</v>
      </c>
      <c r="N31" s="1">
        <f>1021+3673</f>
        <v>4694</v>
      </c>
    </row>
    <row r="32" spans="1:14">
      <c r="A32" s="8" t="s">
        <v>31</v>
      </c>
      <c r="B32" s="20"/>
      <c r="J32" s="1" t="s">
        <v>42</v>
      </c>
      <c r="K32" s="23">
        <f>(L32-N32)/N32</f>
        <v>-0.9779411764705882</v>
      </c>
      <c r="L32" s="2">
        <v>6</v>
      </c>
      <c r="N32" s="2">
        <v>272</v>
      </c>
    </row>
    <row r="33" spans="1:14">
      <c r="A33" s="1" t="s">
        <v>70</v>
      </c>
      <c r="B33" s="19" t="s">
        <v>71</v>
      </c>
      <c r="C33" s="13">
        <f>L20/L33</f>
        <v>0.85406615667564034</v>
      </c>
      <c r="E33" s="13">
        <f>N20/N33</f>
        <v>0.88334683833018213</v>
      </c>
      <c r="G33" s="13"/>
      <c r="K33" s="23">
        <f>(L33-N33)/N33</f>
        <v>0.12592659283935057</v>
      </c>
      <c r="L33" s="1">
        <f>SUM(L27:L32)</f>
        <v>37517</v>
      </c>
      <c r="N33" s="1">
        <f>SUM(N27:N32)</f>
        <v>33321</v>
      </c>
    </row>
    <row r="34" spans="1:14">
      <c r="A34" s="1" t="s">
        <v>72</v>
      </c>
      <c r="B34" s="19" t="s">
        <v>71</v>
      </c>
      <c r="C34" s="13">
        <f>(L20-L14)/L33</f>
        <v>0.63014100274542206</v>
      </c>
      <c r="E34" s="13">
        <f>(N20-N14)/N33</f>
        <v>0.63866630653341738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>
        <f t="shared" ref="K36:K38" si="5">(L36-N36)/N36</f>
        <v>-4.3961727437289891E-2</v>
      </c>
      <c r="L36" s="1">
        <v>11091</v>
      </c>
      <c r="N36" s="1">
        <v>11601</v>
      </c>
    </row>
    <row r="37" spans="1:14">
      <c r="A37" s="1" t="s">
        <v>73</v>
      </c>
      <c r="B37" s="19" t="s">
        <v>62</v>
      </c>
      <c r="C37" s="13">
        <f>C6/L12</f>
        <v>0.89595329414474412</v>
      </c>
      <c r="E37" s="13">
        <f>E6/N12</f>
        <v>0.93894752427081796</v>
      </c>
      <c r="G37" s="13"/>
      <c r="J37" s="1" t="s">
        <v>23</v>
      </c>
      <c r="K37" s="23">
        <f t="shared" si="5"/>
        <v>1.4994232987312572E-2</v>
      </c>
      <c r="L37" s="1">
        <v>2640</v>
      </c>
      <c r="N37" s="1">
        <v>2601</v>
      </c>
    </row>
    <row r="38" spans="1:14">
      <c r="A38" s="1" t="s">
        <v>74</v>
      </c>
      <c r="B38" s="19" t="s">
        <v>75</v>
      </c>
      <c r="C38" s="1">
        <f>(L14/C9)*365*-1</f>
        <v>69.37634335618452</v>
      </c>
      <c r="E38" s="1">
        <f>(N14/E9)*365*-1</f>
        <v>66.529063268499883</v>
      </c>
      <c r="J38" s="1" t="s">
        <v>79</v>
      </c>
      <c r="K38" s="23">
        <f t="shared" si="5"/>
        <v>0.26183480248122754</v>
      </c>
      <c r="L38" s="1">
        <v>3865</v>
      </c>
      <c r="N38" s="1">
        <v>3063</v>
      </c>
    </row>
    <row r="39" spans="1:14">
      <c r="A39" s="1" t="s">
        <v>76</v>
      </c>
      <c r="B39" s="19" t="s">
        <v>62</v>
      </c>
      <c r="C39" s="18">
        <f>C9/L14*-1</f>
        <v>5.2611593857874066</v>
      </c>
      <c r="E39" s="18">
        <f>E9/N14*-1</f>
        <v>5.4863240524960135</v>
      </c>
      <c r="G39" s="18"/>
      <c r="J39" s="1" t="s">
        <v>26</v>
      </c>
      <c r="K39" s="23">
        <f>(L39-N39)/N39</f>
        <v>9.4786113639318686E-2</v>
      </c>
      <c r="L39" s="1">
        <v>8420</v>
      </c>
      <c r="N39" s="1">
        <v>7691</v>
      </c>
    </row>
    <row r="40" spans="1:14">
      <c r="A40" s="1" t="s">
        <v>43</v>
      </c>
      <c r="B40" s="19" t="s">
        <v>75</v>
      </c>
      <c r="C40" s="18">
        <f>(L15-(L15*20%))/C6*365</f>
        <v>40.505784126345432</v>
      </c>
      <c r="E40" s="18">
        <f>(N15-(N15*20%))/E6*365</f>
        <v>40.294914681534046</v>
      </c>
      <c r="G40" s="18"/>
      <c r="J40" s="1" t="s">
        <v>16</v>
      </c>
      <c r="K40" s="23">
        <f>(L40-N40)/N40</f>
        <v>0.38056680161943318</v>
      </c>
      <c r="L40" s="2">
        <v>2387</v>
      </c>
      <c r="N40" s="2">
        <f>1729</f>
        <v>1729</v>
      </c>
    </row>
    <row r="41" spans="1:14">
      <c r="A41" s="1" t="s">
        <v>44</v>
      </c>
      <c r="B41" s="19" t="s">
        <v>75</v>
      </c>
      <c r="C41" s="18">
        <f>(L28-(L28*20%))/C9*365*-1</f>
        <v>123.07219620353402</v>
      </c>
      <c r="E41" s="18">
        <f>(N28-(N28*20%))/E9*365*-1</f>
        <v>111.22503912363068</v>
      </c>
      <c r="G41" s="18"/>
      <c r="L41" s="1">
        <f>SUM(L36:L40)</f>
        <v>28403</v>
      </c>
      <c r="N41" s="1">
        <f>SUM(N36:N40)</f>
        <v>26685</v>
      </c>
    </row>
    <row r="42" spans="1:14">
      <c r="J42" s="1" t="s">
        <v>27</v>
      </c>
      <c r="K42" s="23">
        <f t="shared" ref="K42:K43" si="6">(L42-N42)/N42</f>
        <v>3.1178695339605537E-2</v>
      </c>
      <c r="L42" s="1">
        <v>65981</v>
      </c>
      <c r="N42" s="1">
        <v>63986</v>
      </c>
    </row>
    <row r="43" spans="1:14" ht="16" thickBot="1">
      <c r="A43" s="8" t="s">
        <v>46</v>
      </c>
      <c r="B43" s="20"/>
      <c r="J43" s="1" t="s">
        <v>28</v>
      </c>
      <c r="K43" s="23">
        <f t="shared" si="6"/>
        <v>6.3786373314407382E-2</v>
      </c>
      <c r="L43" s="5">
        <f>L33+L41+L42</f>
        <v>131901</v>
      </c>
      <c r="N43" s="5">
        <f>N33+N41+N42</f>
        <v>123992</v>
      </c>
    </row>
    <row r="44" spans="1:14" ht="16" thickTop="1">
      <c r="A44" s="1" t="s">
        <v>91</v>
      </c>
      <c r="B44" s="19" t="s">
        <v>89</v>
      </c>
      <c r="C44" s="15">
        <f>C23/(L46/1000000)</f>
        <v>2.8738272403752831</v>
      </c>
      <c r="E44" s="15">
        <f>E23/(N46/1000000)</f>
        <v>3.0255672738894215</v>
      </c>
      <c r="G44" s="15"/>
    </row>
    <row r="45" spans="1:14">
      <c r="A45" s="1" t="s">
        <v>81</v>
      </c>
      <c r="B45" s="19" t="s">
        <v>62</v>
      </c>
      <c r="C45" s="13">
        <f>L47/C44</f>
        <v>25.303533430816174</v>
      </c>
      <c r="E45" s="13">
        <f>N47/E44</f>
        <v>23.836809929339157</v>
      </c>
      <c r="G45" s="13"/>
    </row>
    <row r="46" spans="1:14">
      <c r="A46" s="1" t="s">
        <v>92</v>
      </c>
      <c r="B46" s="19" t="s">
        <v>62</v>
      </c>
      <c r="C46" s="13">
        <f>C44/L49</f>
        <v>1.2494901045109927</v>
      </c>
      <c r="E46" s="13">
        <f>E44/N49</f>
        <v>1.3446965661730763</v>
      </c>
      <c r="J46" s="1" t="s">
        <v>82</v>
      </c>
      <c r="K46" s="23">
        <f t="shared" ref="K46:K49" si="7">(L46-N46)/N46</f>
        <v>-1.2144455097475231E-2</v>
      </c>
      <c r="L46" s="2">
        <v>3091000000</v>
      </c>
      <c r="N46" s="2">
        <v>3129000000</v>
      </c>
    </row>
    <row r="47" spans="1:14">
      <c r="A47" s="1" t="s">
        <v>93</v>
      </c>
      <c r="B47" s="19" t="s">
        <v>63</v>
      </c>
      <c r="C47" s="12">
        <f>L49/L47</f>
        <v>3.1629039812646365E-2</v>
      </c>
      <c r="E47" s="12">
        <f>N49/N47</f>
        <v>3.1198058683087844E-2</v>
      </c>
      <c r="G47" s="12"/>
      <c r="J47" s="1" t="s">
        <v>47</v>
      </c>
      <c r="K47" s="23">
        <f t="shared" si="7"/>
        <v>8.2932983407894428E-3</v>
      </c>
      <c r="L47" s="16">
        <f>L53</f>
        <v>72.717983651226163</v>
      </c>
      <c r="N47" s="17">
        <f>N53</f>
        <v>72.119872036130971</v>
      </c>
    </row>
    <row r="48" spans="1:14">
      <c r="A48" s="1" t="s">
        <v>90</v>
      </c>
      <c r="B48" s="19" t="s">
        <v>64</v>
      </c>
      <c r="C48" s="13">
        <f>L36/(L42+L36)</f>
        <v>0.14390440107951008</v>
      </c>
      <c r="E48" s="13">
        <f>N36/(N42+N36)</f>
        <v>0.1534787728048474</v>
      </c>
      <c r="G48" s="13"/>
      <c r="J48" s="1" t="s">
        <v>48</v>
      </c>
      <c r="K48" s="23">
        <f t="shared" si="7"/>
        <v>-1.5816688193366298E-2</v>
      </c>
      <c r="L48" s="2">
        <v>226310000000</v>
      </c>
      <c r="N48" s="2">
        <v>229947000000</v>
      </c>
    </row>
    <row r="49" spans="1:15">
      <c r="A49" s="1" t="s">
        <v>94</v>
      </c>
      <c r="B49" s="19" t="s">
        <v>62</v>
      </c>
      <c r="C49" s="13">
        <f>(C16+C18)/C17*-1</f>
        <v>21.872841444270016</v>
      </c>
      <c r="E49" s="13">
        <f>(E16+E18)/E17*-1</f>
        <v>21.467948717948719</v>
      </c>
      <c r="G49" s="13">
        <f>(G16+G18)/G17*-1</f>
        <v>29.682888540031396</v>
      </c>
      <c r="J49" s="1" t="s">
        <v>57</v>
      </c>
      <c r="K49" s="23">
        <f t="shared" si="7"/>
        <v>2.2222222222222143E-2</v>
      </c>
      <c r="L49" s="16">
        <v>2.2999999999999998</v>
      </c>
      <c r="N49" s="16">
        <v>2.25</v>
      </c>
    </row>
    <row r="51" spans="1:15">
      <c r="A51" s="8" t="s">
        <v>32</v>
      </c>
      <c r="B51" s="20"/>
      <c r="L51" s="1">
        <v>3112160000</v>
      </c>
      <c r="N51" s="1">
        <v>3188400000</v>
      </c>
      <c r="O51" s="1" t="s">
        <v>84</v>
      </c>
    </row>
    <row r="52" spans="1:15">
      <c r="A52" s="1" t="s">
        <v>107</v>
      </c>
      <c r="B52" s="19" t="s">
        <v>63</v>
      </c>
      <c r="C52" s="12">
        <f>C20/C19</f>
        <v>-0.3319043321299639</v>
      </c>
      <c r="E52" s="12">
        <f>E20/E19</f>
        <v>-0.25876918258690884</v>
      </c>
      <c r="G52" s="12">
        <f>G20/G19</f>
        <v>-0.18428110119862076</v>
      </c>
      <c r="L52" s="2">
        <v>226310000000</v>
      </c>
      <c r="N52" s="2">
        <v>229947000000</v>
      </c>
      <c r="O52" s="1" t="s">
        <v>85</v>
      </c>
    </row>
    <row r="53" spans="1:15">
      <c r="A53" s="1" t="s">
        <v>108</v>
      </c>
      <c r="B53" s="19" t="s">
        <v>63</v>
      </c>
      <c r="C53" s="12">
        <f>C12/C6</f>
        <v>-1.940336876460003E-2</v>
      </c>
      <c r="E53" s="12">
        <f>E12/E6</f>
        <v>-1.889958889452047E-2</v>
      </c>
      <c r="G53" s="12">
        <f>G12/G6</f>
        <v>-1.7770597738287562E-2</v>
      </c>
      <c r="L53" s="1">
        <f>L52/L51</f>
        <v>72.717983651226163</v>
      </c>
      <c r="N53" s="1">
        <f>N52/N51</f>
        <v>72.119872036130971</v>
      </c>
      <c r="O53" s="1" t="s">
        <v>47</v>
      </c>
    </row>
    <row r="54" spans="1:15">
      <c r="A54" s="1" t="s">
        <v>109</v>
      </c>
      <c r="B54" s="19" t="s">
        <v>63</v>
      </c>
      <c r="C54" s="12">
        <f>(L6+L7)/L22</f>
        <v>0.40487941713861153</v>
      </c>
      <c r="E54" s="12">
        <f>(N6+N7)/N22</f>
        <v>0.41944641589779985</v>
      </c>
    </row>
    <row r="55" spans="1:15">
      <c r="A55" s="1" t="s">
        <v>110</v>
      </c>
      <c r="B55" s="19" t="s">
        <v>63</v>
      </c>
      <c r="C55" s="12">
        <f>(L6+L7)/L42</f>
        <v>0.80938451978599901</v>
      </c>
      <c r="E55" s="12">
        <f>(N6+N7)/N42</f>
        <v>0.81280280061263399</v>
      </c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"/>
  <sheetViews>
    <sheetView topLeftCell="A4" zoomScale="125" zoomScaleNormal="125" zoomScalePageLayoutView="125" workbookViewId="0">
      <selection activeCell="A58" sqref="A58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4.83203125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105</v>
      </c>
      <c r="B2" s="19" t="s">
        <v>58</v>
      </c>
      <c r="D2" s="19" t="s">
        <v>58</v>
      </c>
      <c r="K2" s="19" t="s">
        <v>58</v>
      </c>
      <c r="L2" s="24" t="s">
        <v>100</v>
      </c>
      <c r="N2" s="24" t="s">
        <v>100</v>
      </c>
    </row>
    <row r="3" spans="1:14">
      <c r="B3" s="21" t="s">
        <v>59</v>
      </c>
      <c r="C3" s="14" t="s">
        <v>97</v>
      </c>
      <c r="D3" s="21" t="s">
        <v>59</v>
      </c>
      <c r="E3" s="14" t="s">
        <v>83</v>
      </c>
      <c r="F3" s="14"/>
      <c r="G3" s="14" t="s">
        <v>77</v>
      </c>
      <c r="H3" s="14"/>
      <c r="I3" s="14"/>
      <c r="J3" s="14"/>
      <c r="K3" s="21" t="s">
        <v>59</v>
      </c>
      <c r="L3" s="14" t="s">
        <v>97</v>
      </c>
      <c r="M3" s="14"/>
      <c r="N3" s="14" t="s">
        <v>83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49</v>
      </c>
      <c r="B6" s="23">
        <f>(C6-E6)/E6</f>
        <v>4.2752749736326652E-2</v>
      </c>
      <c r="C6" s="1">
        <v>83049</v>
      </c>
      <c r="D6" s="23">
        <f>(E6-G6)/G6</f>
        <v>5.2990639378073932E-2</v>
      </c>
      <c r="E6" s="1">
        <v>79644</v>
      </c>
      <c r="F6" s="4"/>
      <c r="G6" s="1">
        <v>75636</v>
      </c>
      <c r="H6" s="4"/>
      <c r="I6" s="4"/>
      <c r="J6" s="1" t="s">
        <v>38</v>
      </c>
      <c r="K6" s="23">
        <f>(L6-N6)/N6</f>
        <v>0.15509747920029804</v>
      </c>
      <c r="L6" s="1">
        <v>27906</v>
      </c>
      <c r="N6" s="1">
        <v>24159</v>
      </c>
    </row>
    <row r="7" spans="1:14">
      <c r="A7" s="1" t="s">
        <v>50</v>
      </c>
      <c r="B7" s="23" t="e">
        <f t="shared" ref="B7:B23" si="0">(C7-E7)/E7</f>
        <v>#DIV/0!</v>
      </c>
      <c r="C7" s="2"/>
      <c r="D7" s="23" t="e">
        <f t="shared" ref="D7:D23" si="1">(E7-G7)/G7</f>
        <v>#DIV/0!</v>
      </c>
      <c r="E7" s="2"/>
      <c r="G7" s="2"/>
      <c r="H7" s="4"/>
      <c r="I7" s="4"/>
      <c r="J7" s="1" t="s">
        <v>13</v>
      </c>
      <c r="K7" s="23">
        <f t="shared" ref="K7:K9" si="2">(L7-N7)/N7</f>
        <v>0.41126323947300442</v>
      </c>
      <c r="L7" s="1">
        <v>10926</v>
      </c>
      <c r="N7" s="1">
        <v>7742</v>
      </c>
    </row>
    <row r="8" spans="1:14">
      <c r="A8" s="7" t="s">
        <v>51</v>
      </c>
      <c r="B8" s="23">
        <f t="shared" si="0"/>
        <v>4.2752749736326652E-2</v>
      </c>
      <c r="C8" s="1">
        <f>SUM(C6:C7)</f>
        <v>83049</v>
      </c>
      <c r="D8" s="23">
        <f t="shared" si="1"/>
        <v>5.2990639378073932E-2</v>
      </c>
      <c r="E8" s="1">
        <f>SUM(E6:E7)</f>
        <v>79644</v>
      </c>
      <c r="G8" s="1">
        <f>SUM(G6:G7)</f>
        <v>75636</v>
      </c>
      <c r="H8" s="3"/>
      <c r="I8" s="3"/>
      <c r="J8" s="1" t="s">
        <v>14</v>
      </c>
      <c r="K8" s="23">
        <f t="shared" si="2"/>
        <v>8.0732499753864331E-2</v>
      </c>
      <c r="L8" s="1">
        <v>10977</v>
      </c>
      <c r="N8" s="1">
        <v>10157</v>
      </c>
    </row>
    <row r="9" spans="1:14">
      <c r="A9" s="1" t="s">
        <v>1</v>
      </c>
      <c r="B9" s="23">
        <f t="shared" si="0"/>
        <v>3.931859706946584E-2</v>
      </c>
      <c r="C9" s="2">
        <v>-58021</v>
      </c>
      <c r="D9" s="23">
        <f t="shared" si="1"/>
        <v>3.7870196508579819E-2</v>
      </c>
      <c r="E9" s="2">
        <v>-55826</v>
      </c>
      <c r="F9" s="4"/>
      <c r="G9" s="2">
        <v>-53789</v>
      </c>
      <c r="H9" s="4"/>
      <c r="I9" s="4"/>
      <c r="J9" s="1" t="s">
        <v>98</v>
      </c>
      <c r="K9" s="23">
        <f t="shared" si="2"/>
        <v>-0.19524636824012123</v>
      </c>
      <c r="L9" s="1">
        <f>2727+19044</f>
        <v>21771</v>
      </c>
      <c r="N9" s="1">
        <f>3012+20610+3431</f>
        <v>27053</v>
      </c>
    </row>
    <row r="10" spans="1:14">
      <c r="A10" s="7" t="s">
        <v>2</v>
      </c>
      <c r="B10" s="23">
        <f t="shared" si="0"/>
        <v>5.080191451843144E-2</v>
      </c>
      <c r="C10" s="1">
        <f>C8+C9</f>
        <v>25028</v>
      </c>
      <c r="D10" s="23">
        <f t="shared" si="1"/>
        <v>9.0218336613722708E-2</v>
      </c>
      <c r="E10" s="1">
        <f>E8+E9</f>
        <v>23818</v>
      </c>
      <c r="F10" s="3"/>
      <c r="G10" s="1">
        <f>G8+G9</f>
        <v>21847</v>
      </c>
      <c r="H10" s="4"/>
      <c r="I10" s="4"/>
      <c r="J10" s="1" t="s">
        <v>15</v>
      </c>
      <c r="K10" s="23">
        <f>(L10-N10)/N10</f>
        <v>0.79593432369038308</v>
      </c>
      <c r="L10" s="1">
        <v>2297</v>
      </c>
      <c r="N10" s="1">
        <v>1279</v>
      </c>
    </row>
    <row r="11" spans="1:14">
      <c r="A11" s="1" t="s">
        <v>37</v>
      </c>
      <c r="B11" s="23" t="e">
        <f t="shared" si="0"/>
        <v>#DIV/0!</v>
      </c>
      <c r="D11" s="23" t="e">
        <f t="shared" si="1"/>
        <v>#DIV/0!</v>
      </c>
      <c r="H11" s="3"/>
      <c r="I11" s="3"/>
      <c r="J11" s="1" t="s">
        <v>16</v>
      </c>
      <c r="K11" s="23" t="e">
        <f>(L11-N11)/N11</f>
        <v>#DIV/0!</v>
      </c>
      <c r="L11" s="2">
        <v>1498</v>
      </c>
      <c r="N11" s="2"/>
    </row>
    <row r="12" spans="1:14">
      <c r="A12" s="1" t="s">
        <v>3</v>
      </c>
      <c r="B12" s="23">
        <f t="shared" si="0"/>
        <v>9.1293322062552834E-2</v>
      </c>
      <c r="C12" s="1">
        <v>-5164</v>
      </c>
      <c r="D12" s="23">
        <f t="shared" si="1"/>
        <v>5.5543163060450589E-2</v>
      </c>
      <c r="E12" s="1">
        <v>-4732</v>
      </c>
      <c r="F12" s="4"/>
      <c r="G12" s="1">
        <v>-4483</v>
      </c>
      <c r="H12" s="4"/>
      <c r="I12" s="4"/>
      <c r="K12" s="23">
        <f>(L12-N12)/N12</f>
        <v>7.0819718710044041E-2</v>
      </c>
      <c r="L12" s="9">
        <f>SUM(L6:L11)</f>
        <v>75375</v>
      </c>
      <c r="N12" s="9">
        <f>SUM(N6:N11)</f>
        <v>70390</v>
      </c>
    </row>
    <row r="13" spans="1:14">
      <c r="A13" s="1" t="s">
        <v>4</v>
      </c>
      <c r="B13" s="23">
        <f t="shared" si="0"/>
        <v>4.7647613334475959E-2</v>
      </c>
      <c r="C13" s="1">
        <v>-12225</v>
      </c>
      <c r="D13" s="23">
        <f t="shared" si="1"/>
        <v>2.2789026207380138E-2</v>
      </c>
      <c r="E13" s="1">
        <v>-11669</v>
      </c>
      <c r="G13" s="1">
        <v>-11409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0"/>
        <v>#DIV/0!</v>
      </c>
      <c r="D14" s="23" t="e">
        <f t="shared" si="1"/>
        <v>#DIV/0!</v>
      </c>
      <c r="H14" s="3"/>
      <c r="I14" s="3"/>
      <c r="J14" s="1" t="s">
        <v>40</v>
      </c>
      <c r="K14" s="23">
        <f t="shared" ref="K14:K15" si="3">(L14-N14)/N14</f>
        <v>9.8127753303964754E-2</v>
      </c>
      <c r="L14" s="1">
        <v>19942</v>
      </c>
      <c r="N14" s="1">
        <v>18160</v>
      </c>
    </row>
    <row r="15" spans="1:14">
      <c r="A15" s="1" t="s">
        <v>33</v>
      </c>
      <c r="B15" s="23">
        <f t="shared" si="0"/>
        <v>-1.5252525252525253</v>
      </c>
      <c r="C15" s="2">
        <f>647-595</f>
        <v>52</v>
      </c>
      <c r="D15" s="23">
        <f t="shared" si="1"/>
        <v>-2.1379310344827585</v>
      </c>
      <c r="E15" s="2">
        <f>328-427</f>
        <v>-99</v>
      </c>
      <c r="F15" s="4"/>
      <c r="G15" s="2">
        <f>476-389</f>
        <v>87</v>
      </c>
      <c r="H15" s="4"/>
      <c r="I15" s="4"/>
      <c r="J15" s="1" t="s">
        <v>18</v>
      </c>
      <c r="K15" s="23">
        <f t="shared" si="3"/>
        <v>5.3601031497513357E-2</v>
      </c>
      <c r="L15" s="1">
        <v>17160</v>
      </c>
      <c r="N15" s="1">
        <v>16287</v>
      </c>
    </row>
    <row r="16" spans="1:14">
      <c r="A16" s="7" t="s">
        <v>5</v>
      </c>
      <c r="B16" s="23">
        <f t="shared" si="0"/>
        <v>5.0970210440010932E-2</v>
      </c>
      <c r="C16" s="1">
        <f>SUM(C10:C15)</f>
        <v>7691</v>
      </c>
      <c r="D16" s="23">
        <f t="shared" si="1"/>
        <v>0.21118834822906321</v>
      </c>
      <c r="E16" s="1">
        <f>SUM(E10:E15)</f>
        <v>7318</v>
      </c>
      <c r="F16" s="3"/>
      <c r="G16" s="1">
        <f>SUM(G10:G15)</f>
        <v>6042</v>
      </c>
      <c r="H16" s="3"/>
      <c r="I16" s="3"/>
      <c r="J16" s="1" t="s">
        <v>19</v>
      </c>
      <c r="K16" s="23">
        <f>(L16-N16)/N16</f>
        <v>0.16317944052763247</v>
      </c>
      <c r="L16" s="1">
        <f>7664+1098+1467</f>
        <v>10229</v>
      </c>
      <c r="N16" s="1">
        <f>6800+790+1204</f>
        <v>8794</v>
      </c>
    </row>
    <row r="17" spans="1:14">
      <c r="A17" s="1" t="s">
        <v>6</v>
      </c>
      <c r="B17" s="23">
        <f t="shared" si="0"/>
        <v>-12.895833333333334</v>
      </c>
      <c r="C17" s="1">
        <f>1487-1051+135</f>
        <v>571</v>
      </c>
      <c r="D17" s="23">
        <f t="shared" si="1"/>
        <v>-0.17241379310344829</v>
      </c>
      <c r="E17" s="1">
        <f>1314-989-373</f>
        <v>-48</v>
      </c>
      <c r="F17" s="4"/>
      <c r="G17" s="1">
        <f>1260-818-500</f>
        <v>-58</v>
      </c>
      <c r="J17" s="1" t="s">
        <v>53</v>
      </c>
      <c r="K17" s="23">
        <f>(L17-N17)/N17</f>
        <v>-3.9443155452436193E-2</v>
      </c>
      <c r="L17" s="1">
        <v>1242</v>
      </c>
      <c r="N17" s="1">
        <v>1293</v>
      </c>
    </row>
    <row r="18" spans="1:14">
      <c r="A18" s="1" t="s">
        <v>7</v>
      </c>
      <c r="B18" s="23">
        <f t="shared" si="0"/>
        <v>-0.67910447761194026</v>
      </c>
      <c r="C18" s="2">
        <v>43</v>
      </c>
      <c r="D18" s="23">
        <f t="shared" si="1"/>
        <v>-0.89149797570850198</v>
      </c>
      <c r="E18" s="2">
        <v>134</v>
      </c>
      <c r="F18" s="4"/>
      <c r="G18" s="2">
        <v>1235</v>
      </c>
      <c r="J18" s="1" t="s">
        <v>78</v>
      </c>
      <c r="K18" s="23">
        <f>(L18-N18)/N18</f>
        <v>-0.21020369671821953</v>
      </c>
      <c r="L18" s="1">
        <v>8375</v>
      </c>
      <c r="N18" s="1">
        <v>10604</v>
      </c>
    </row>
    <row r="19" spans="1:14">
      <c r="A19" s="7" t="s">
        <v>34</v>
      </c>
      <c r="B19" s="23">
        <f t="shared" si="0"/>
        <v>0.12169097784981091</v>
      </c>
      <c r="C19" s="1">
        <f>SUM(C16:C18)</f>
        <v>8305</v>
      </c>
      <c r="D19" s="23">
        <f t="shared" si="1"/>
        <v>2.5626818118853027E-2</v>
      </c>
      <c r="E19" s="1">
        <f>SUM(E16:E18)</f>
        <v>7404</v>
      </c>
      <c r="F19" s="3"/>
      <c r="G19" s="1">
        <f>SUM(G16:G18)</f>
        <v>7219</v>
      </c>
      <c r="J19" s="1" t="s">
        <v>41</v>
      </c>
      <c r="K19" s="23">
        <f>(L19-N19)/N19</f>
        <v>6.8</v>
      </c>
      <c r="L19" s="2">
        <v>1482</v>
      </c>
      <c r="N19" s="2">
        <v>190</v>
      </c>
    </row>
    <row r="20" spans="1:14">
      <c r="A20" s="1" t="s">
        <v>8</v>
      </c>
      <c r="B20" s="23">
        <f t="shared" si="0"/>
        <v>8.565737051792828E-2</v>
      </c>
      <c r="C20" s="2">
        <v>-2180</v>
      </c>
      <c r="D20" s="23">
        <f t="shared" si="1"/>
        <v>7.4371321562332796E-2</v>
      </c>
      <c r="E20" s="2">
        <v>-2008</v>
      </c>
      <c r="F20" s="4"/>
      <c r="G20" s="2">
        <v>-1869</v>
      </c>
      <c r="K20" s="23">
        <f>(L20-N20)/N20</f>
        <v>5.6065644881434354E-2</v>
      </c>
      <c r="L20" s="1">
        <f>SUM(L14:L19)</f>
        <v>58430</v>
      </c>
      <c r="N20" s="1">
        <f>SUM(N14:N19)</f>
        <v>55328</v>
      </c>
    </row>
    <row r="21" spans="1:14">
      <c r="A21" s="7" t="s">
        <v>35</v>
      </c>
      <c r="B21" s="23">
        <f t="shared" si="0"/>
        <v>0.13510007412898442</v>
      </c>
      <c r="C21" s="9">
        <f>SUM(C19:C20)</f>
        <v>6125</v>
      </c>
      <c r="D21" s="23">
        <f t="shared" si="1"/>
        <v>8.5981308411214961E-3</v>
      </c>
      <c r="E21" s="9">
        <f>SUM(E19:E20)</f>
        <v>5396</v>
      </c>
      <c r="F21" s="3"/>
      <c r="G21" s="9">
        <f>SUM(G19:G20)</f>
        <v>5350</v>
      </c>
    </row>
    <row r="22" spans="1:14" ht="16" thickBot="1">
      <c r="A22" s="1" t="s">
        <v>36</v>
      </c>
      <c r="B22" s="23">
        <f t="shared" si="0"/>
        <v>-0.71808510638297873</v>
      </c>
      <c r="C22" s="1">
        <v>53</v>
      </c>
      <c r="D22" s="23">
        <f t="shared" si="1"/>
        <v>-0.90743476120137867</v>
      </c>
      <c r="E22" s="1">
        <v>188</v>
      </c>
      <c r="G22" s="1">
        <v>2031</v>
      </c>
      <c r="J22" s="10" t="s">
        <v>20</v>
      </c>
      <c r="K22" s="23">
        <f>(L22-N22)/N22</f>
        <v>6.4326508534975096E-2</v>
      </c>
      <c r="L22" s="5">
        <f>L20+L12</f>
        <v>133805</v>
      </c>
      <c r="N22" s="5">
        <f>N20+N12</f>
        <v>125718</v>
      </c>
    </row>
    <row r="23" spans="1:14" ht="17" thickTop="1" thickBot="1">
      <c r="A23" s="7" t="s">
        <v>9</v>
      </c>
      <c r="B23" s="23">
        <f t="shared" si="0"/>
        <v>0.10637535816618911</v>
      </c>
      <c r="C23" s="5">
        <f>SUM(C21:C22)</f>
        <v>6178</v>
      </c>
      <c r="D23" s="23">
        <f t="shared" si="1"/>
        <v>-0.24346294540035227</v>
      </c>
      <c r="E23" s="5">
        <f>SUM(E21:E22)</f>
        <v>5584</v>
      </c>
      <c r="G23" s="5">
        <f>SUM(G21:G22)</f>
        <v>7381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>
        <f>C10/C6</f>
        <v>0.30136425483750556</v>
      </c>
      <c r="E26" s="12">
        <f>E10/E6</f>
        <v>0.29905579830244589</v>
      </c>
      <c r="G26" s="12">
        <f>G10/G6</f>
        <v>0.28884393674969588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>
        <f>C16/C6</f>
        <v>9.2607978422377155E-2</v>
      </c>
      <c r="E27" s="12">
        <f>E16/E6</f>
        <v>9.1883883280598669E-2</v>
      </c>
      <c r="G27" s="12">
        <f>G16/G6</f>
        <v>7.9882595589401875E-2</v>
      </c>
      <c r="J27" s="1" t="s">
        <v>54</v>
      </c>
      <c r="K27" s="23">
        <f t="shared" ref="K27:K28" si="4">(L27-N27)/N27</f>
        <v>-0.12230099903319368</v>
      </c>
      <c r="L27" s="1">
        <v>5447</v>
      </c>
      <c r="N27" s="1">
        <v>6206</v>
      </c>
    </row>
    <row r="28" spans="1:14">
      <c r="A28" s="1" t="s">
        <v>67</v>
      </c>
      <c r="B28" s="19" t="s">
        <v>63</v>
      </c>
      <c r="C28" s="12">
        <f>C23/C6</f>
        <v>7.4389818059218057E-2</v>
      </c>
      <c r="E28" s="12">
        <f>E23/E6</f>
        <v>7.0111998392848179E-2</v>
      </c>
      <c r="G28" s="12">
        <f>G23/G6</f>
        <v>9.7585805700988945E-2</v>
      </c>
      <c r="J28" s="1" t="s">
        <v>22</v>
      </c>
      <c r="K28" s="23">
        <f t="shared" si="4"/>
        <v>0.21210238568588469</v>
      </c>
      <c r="L28" s="1">
        <v>9755</v>
      </c>
      <c r="N28" s="1">
        <v>8048</v>
      </c>
    </row>
    <row r="29" spans="1:14">
      <c r="A29" s="1" t="s">
        <v>68</v>
      </c>
      <c r="B29" s="19" t="s">
        <v>63</v>
      </c>
      <c r="C29" s="12">
        <f>C23/L42</f>
        <v>0.13874727693309677</v>
      </c>
      <c r="E29" s="12">
        <f>E23/N42</f>
        <v>0.16038602941176472</v>
      </c>
      <c r="G29" s="12"/>
      <c r="J29" s="1" t="s">
        <v>55</v>
      </c>
      <c r="K29" s="23">
        <f>(L29-N29)/N29</f>
        <v>0.12949640287769784</v>
      </c>
      <c r="L29" s="1">
        <v>2355</v>
      </c>
      <c r="N29" s="1">
        <v>2085</v>
      </c>
    </row>
    <row r="30" spans="1:14">
      <c r="A30" s="1" t="s">
        <v>69</v>
      </c>
      <c r="B30" s="19" t="s">
        <v>63</v>
      </c>
      <c r="C30" s="12">
        <f>(C16+C18)/(L42+L36)</f>
        <v>0.10846516324469875</v>
      </c>
      <c r="E30" s="12">
        <f>(E16+E18)/(L42+N36)</f>
        <v>0.10755109109802563</v>
      </c>
      <c r="G30" s="12"/>
      <c r="J30" s="1" t="s">
        <v>23</v>
      </c>
      <c r="K30" s="23">
        <f>(L30-N30)/N30</f>
        <v>1.9443110897743639E-2</v>
      </c>
      <c r="L30" s="1">
        <v>4247</v>
      </c>
      <c r="N30" s="1">
        <v>4166</v>
      </c>
    </row>
    <row r="31" spans="1:14">
      <c r="J31" s="1" t="s">
        <v>24</v>
      </c>
      <c r="K31" s="23">
        <f>(L31-N31)/N31</f>
        <v>-3.9204291461779166E-2</v>
      </c>
      <c r="L31" s="1">
        <f>1444+20049</f>
        <v>21493</v>
      </c>
      <c r="N31" s="1">
        <f>1933+20437</f>
        <v>22370</v>
      </c>
    </row>
    <row r="32" spans="1:14">
      <c r="A32" s="8" t="s">
        <v>31</v>
      </c>
      <c r="B32" s="20"/>
      <c r="J32" s="1" t="s">
        <v>42</v>
      </c>
      <c r="K32" s="23">
        <f>(L32-N32)/N32</f>
        <v>1.425</v>
      </c>
      <c r="L32" s="2">
        <v>97</v>
      </c>
      <c r="N32" s="2">
        <v>40</v>
      </c>
    </row>
    <row r="33" spans="1:14">
      <c r="A33" s="1" t="s">
        <v>70</v>
      </c>
      <c r="B33" s="19" t="s">
        <v>71</v>
      </c>
      <c r="C33" s="13">
        <f>L20/L33</f>
        <v>1.3464995160621285</v>
      </c>
      <c r="E33" s="13">
        <f>N20/N33</f>
        <v>1.2892461843178376</v>
      </c>
      <c r="G33" s="13"/>
      <c r="K33" s="23">
        <f>(L33-N33)/N33</f>
        <v>1.1161598508679949E-2</v>
      </c>
      <c r="L33" s="1">
        <f>SUM(L27:L32)</f>
        <v>43394</v>
      </c>
      <c r="N33" s="1">
        <f>SUM(N27:N32)</f>
        <v>42915</v>
      </c>
    </row>
    <row r="34" spans="1:14">
      <c r="A34" s="1" t="s">
        <v>72</v>
      </c>
      <c r="B34" s="19" t="s">
        <v>71</v>
      </c>
      <c r="C34" s="13">
        <f>(L20-L14)/L33</f>
        <v>0.88694289533115178</v>
      </c>
      <c r="E34" s="13">
        <f>(N20-N14)/N33</f>
        <v>0.86608411977164157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>
        <f t="shared" ref="K36:K37" si="5">(L36-N36)/N36</f>
        <v>8.1418359516982355E-2</v>
      </c>
      <c r="L36" s="1">
        <v>26777</v>
      </c>
      <c r="N36" s="1">
        <v>24761</v>
      </c>
    </row>
    <row r="37" spans="1:14">
      <c r="A37" s="1" t="s">
        <v>73</v>
      </c>
      <c r="B37" s="19" t="s">
        <v>62</v>
      </c>
      <c r="C37" s="13">
        <f>C6/L12</f>
        <v>1.1018109452736318</v>
      </c>
      <c r="E37" s="13">
        <f>E6/N12</f>
        <v>1.1314675380025572</v>
      </c>
      <c r="G37" s="13"/>
      <c r="J37" s="1" t="s">
        <v>23</v>
      </c>
      <c r="K37" s="23">
        <f t="shared" si="5"/>
        <v>-9.9862394338509922E-2</v>
      </c>
      <c r="L37" s="1">
        <v>4579</v>
      </c>
      <c r="N37" s="1">
        <v>5087</v>
      </c>
    </row>
    <row r="38" spans="1:14">
      <c r="A38" s="1" t="s">
        <v>74</v>
      </c>
      <c r="B38" s="19" t="s">
        <v>75</v>
      </c>
      <c r="C38" s="1">
        <f>(L14/C9)*365*-1</f>
        <v>125.45164681753158</v>
      </c>
      <c r="E38" s="1">
        <f>(N14/E9)*365*-1</f>
        <v>118.73320674954323</v>
      </c>
      <c r="J38" s="1" t="s">
        <v>79</v>
      </c>
      <c r="K38" s="23">
        <f>(L39-N38)/N38</f>
        <v>10.558504221954161</v>
      </c>
      <c r="L38" s="1">
        <v>1599</v>
      </c>
      <c r="N38" s="1">
        <v>829</v>
      </c>
    </row>
    <row r="39" spans="1:14">
      <c r="A39" s="1" t="s">
        <v>76</v>
      </c>
      <c r="B39" s="19" t="s">
        <v>62</v>
      </c>
      <c r="C39" s="18">
        <f>C9/L14*-1</f>
        <v>2.9094875137899909</v>
      </c>
      <c r="E39" s="18">
        <f>E9/N14*-1</f>
        <v>3.0741189427312774</v>
      </c>
      <c r="G39" s="18"/>
      <c r="J39" s="1" t="s">
        <v>26</v>
      </c>
      <c r="K39" s="23" t="e">
        <f>(#REF!-N39)/N39</f>
        <v>#REF!</v>
      </c>
      <c r="L39" s="1">
        <v>9582</v>
      </c>
      <c r="N39" s="1">
        <v>13695</v>
      </c>
    </row>
    <row r="40" spans="1:14">
      <c r="A40" s="1" t="s">
        <v>43</v>
      </c>
      <c r="B40" s="19" t="s">
        <v>75</v>
      </c>
      <c r="C40" s="18">
        <f>(L15-(L15*20%))/C6*365</f>
        <v>60.334501318498717</v>
      </c>
      <c r="E40" s="18">
        <f>(N15-(N15*20%))/E6*365</f>
        <v>59.713274069609767</v>
      </c>
      <c r="G40" s="18"/>
      <c r="J40" s="1" t="s">
        <v>16</v>
      </c>
      <c r="K40" s="23">
        <f>(L40-N40)/N40</f>
        <v>-7.3623027954608358E-2</v>
      </c>
      <c r="L40" s="2">
        <f>902+2445</f>
        <v>3347</v>
      </c>
      <c r="N40" s="2">
        <f>1142+2471</f>
        <v>3613</v>
      </c>
    </row>
    <row r="41" spans="1:14">
      <c r="A41" s="1" t="s">
        <v>44</v>
      </c>
      <c r="B41" s="19" t="s">
        <v>75</v>
      </c>
      <c r="C41" s="18">
        <f>(L28-(L28*20%))/C9*365*-1</f>
        <v>49.093604039916578</v>
      </c>
      <c r="E41" s="18">
        <f>(N28-(N28*20%))/E9*365*-1</f>
        <v>42.095367749794001</v>
      </c>
      <c r="G41" s="18"/>
      <c r="L41" s="1">
        <f>SUM(L36:L40)</f>
        <v>45884</v>
      </c>
      <c r="N41" s="1">
        <f>SUM(N36:N40)</f>
        <v>47985</v>
      </c>
    </row>
    <row r="42" spans="1:14">
      <c r="J42" s="1" t="s">
        <v>27</v>
      </c>
      <c r="K42" s="23">
        <f t="shared" ref="K42:K43" si="6">(L42-N42)/N42</f>
        <v>0.27892348345588236</v>
      </c>
      <c r="L42" s="1">
        <v>44527</v>
      </c>
      <c r="N42" s="1">
        <v>34816</v>
      </c>
    </row>
    <row r="43" spans="1:14" ht="16" thickBot="1">
      <c r="A43" s="8" t="s">
        <v>46</v>
      </c>
      <c r="B43" s="20"/>
      <c r="J43" s="1" t="s">
        <v>28</v>
      </c>
      <c r="K43" s="23">
        <f t="shared" si="6"/>
        <v>6.4343440771262209E-2</v>
      </c>
      <c r="L43" s="5">
        <f>L33+L41+L42</f>
        <v>133805</v>
      </c>
      <c r="N43" s="5">
        <f>N33+N41+N42</f>
        <v>125716</v>
      </c>
    </row>
    <row r="44" spans="1:14" ht="16" thickTop="1">
      <c r="A44" s="1" t="s">
        <v>91</v>
      </c>
      <c r="B44" s="19" t="s">
        <v>80</v>
      </c>
      <c r="C44" s="15">
        <f>C23/(L46/1000000)</f>
        <v>7.606688172572583</v>
      </c>
      <c r="E44" s="15">
        <f>E23/(N46/1000000)</f>
        <v>6.9050286514172372</v>
      </c>
      <c r="G44" s="15"/>
    </row>
    <row r="45" spans="1:14">
      <c r="A45" s="1" t="s">
        <v>81</v>
      </c>
      <c r="B45" s="19" t="s">
        <v>62</v>
      </c>
      <c r="C45" s="13">
        <f>L47/C44</f>
        <v>15.670420200712204</v>
      </c>
      <c r="E45" s="13">
        <f>N47/E44</f>
        <v>15.090451504297995</v>
      </c>
      <c r="G45" s="13"/>
    </row>
    <row r="46" spans="1:14">
      <c r="A46" s="1" t="s">
        <v>92</v>
      </c>
      <c r="B46" s="19" t="s">
        <v>62</v>
      </c>
      <c r="C46" s="1">
        <f>C44/L49</f>
        <v>2.0558616682628603</v>
      </c>
      <c r="E46" s="1">
        <f>E44/N49</f>
        <v>1.9180635142825659</v>
      </c>
      <c r="J46" s="1" t="s">
        <v>82</v>
      </c>
      <c r="K46" s="23">
        <f t="shared" ref="K46:K49" si="7">(L46-N46)/N46</f>
        <v>4.3205892027313444E-3</v>
      </c>
      <c r="L46" s="2">
        <v>812180000</v>
      </c>
      <c r="N46" s="2">
        <v>808686000</v>
      </c>
    </row>
    <row r="47" spans="1:14">
      <c r="A47" s="1" t="s">
        <v>93</v>
      </c>
      <c r="B47" s="19" t="s">
        <v>63</v>
      </c>
      <c r="C47" s="12">
        <f>L49/L47</f>
        <v>3.1040268456375839E-2</v>
      </c>
      <c r="E47" s="12">
        <f>N49/N47</f>
        <v>3.4548944337811902E-2</v>
      </c>
      <c r="G47" s="12"/>
      <c r="J47" s="1" t="s">
        <v>47</v>
      </c>
      <c r="K47" s="23">
        <f t="shared" si="7"/>
        <v>0.14395393474088292</v>
      </c>
      <c r="L47" s="16">
        <v>119.2</v>
      </c>
      <c r="N47" s="17">
        <v>104.2</v>
      </c>
    </row>
    <row r="48" spans="1:14">
      <c r="A48" s="1" t="s">
        <v>90</v>
      </c>
      <c r="B48" s="19" t="s">
        <v>64</v>
      </c>
      <c r="C48" s="13">
        <f>L36/(L42+L36)</f>
        <v>0.37553292942892402</v>
      </c>
      <c r="E48" s="13">
        <f>N36/(N42+N36)</f>
        <v>0.4156134078587374</v>
      </c>
      <c r="G48" s="13"/>
      <c r="J48" s="1" t="s">
        <v>48</v>
      </c>
      <c r="K48" s="23">
        <f t="shared" si="7"/>
        <v>0.14889648975974643</v>
      </c>
      <c r="L48" s="2">
        <f>L46*L47</f>
        <v>96811856000</v>
      </c>
      <c r="N48" s="2">
        <f>N46*N47</f>
        <v>84265081200</v>
      </c>
    </row>
    <row r="49" spans="1:14">
      <c r="A49" s="1" t="s">
        <v>94</v>
      </c>
      <c r="B49" s="19" t="s">
        <v>62</v>
      </c>
      <c r="C49" s="13">
        <f>(C16+C18)/C17*-1</f>
        <v>-13.544658493870402</v>
      </c>
      <c r="E49" s="13">
        <f>(E16+E18)/E17*-1</f>
        <v>155.25</v>
      </c>
      <c r="G49" s="13">
        <f>(G16+G18)/G17*-1</f>
        <v>125.46551724137932</v>
      </c>
      <c r="J49" s="1" t="s">
        <v>57</v>
      </c>
      <c r="K49" s="23">
        <f t="shared" si="7"/>
        <v>2.7777777777777801E-2</v>
      </c>
      <c r="L49" s="16">
        <v>3.7</v>
      </c>
      <c r="N49" s="16">
        <v>3.6</v>
      </c>
    </row>
    <row r="51" spans="1:14">
      <c r="A51" s="8" t="s">
        <v>32</v>
      </c>
      <c r="B51" s="20"/>
      <c r="L51" s="1">
        <v>850000000</v>
      </c>
      <c r="N51" s="1">
        <v>850000000</v>
      </c>
    </row>
    <row r="52" spans="1:14">
      <c r="A52" s="1" t="s">
        <v>107</v>
      </c>
      <c r="B52" s="19" t="s">
        <v>63</v>
      </c>
      <c r="C52" s="12">
        <f>C20/C19</f>
        <v>-0.26249247441300422</v>
      </c>
      <c r="E52" s="12">
        <f>E20/E19</f>
        <v>-0.27120475418692597</v>
      </c>
      <c r="G52" s="12">
        <f>G20/G19</f>
        <v>-0.25890012467100704</v>
      </c>
    </row>
    <row r="53" spans="1:14">
      <c r="A53" s="1" t="s">
        <v>108</v>
      </c>
      <c r="B53" s="19" t="s">
        <v>63</v>
      </c>
      <c r="C53" s="12">
        <f>C12/C6</f>
        <v>-6.2180158701489484E-2</v>
      </c>
      <c r="E53" s="12">
        <f>E12/E6</f>
        <v>-5.9414394053538246E-2</v>
      </c>
      <c r="G53" s="12">
        <f>G12/G6</f>
        <v>-5.9270717647681E-2</v>
      </c>
    </row>
    <row r="54" spans="1:14">
      <c r="A54" s="1" t="s">
        <v>109</v>
      </c>
      <c r="B54" s="19" t="s">
        <v>63</v>
      </c>
      <c r="C54" s="12">
        <f>(L6+L7)/L22</f>
        <v>0.29021337020290722</v>
      </c>
      <c r="E54" s="12">
        <f>(N6+N7)/N22</f>
        <v>0.25375045737285035</v>
      </c>
    </row>
    <row r="55" spans="1:14">
      <c r="A55" s="1" t="s">
        <v>110</v>
      </c>
      <c r="B55" s="19" t="s">
        <v>63</v>
      </c>
      <c r="C55" s="12">
        <f>(L6+L7)/L42</f>
        <v>0.87210007411233637</v>
      </c>
      <c r="E55" s="12">
        <f>(N6+N7)/N42</f>
        <v>0.91627412683823528</v>
      </c>
    </row>
  </sheetData>
  <phoneticPr fontId="7" type="noConversion"/>
  <pageMargins left="0.75000000000000011" right="0.75000000000000011" top="1" bottom="1" header="0.5" footer="0.5"/>
  <pageSetup paperSize="9" scale="51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5"/>
  <sheetViews>
    <sheetView zoomScale="125" zoomScaleNormal="125" zoomScalePageLayoutView="125" workbookViewId="0">
      <selection activeCell="A52" sqref="A52:A55"/>
    </sheetView>
  </sheetViews>
  <sheetFormatPr baseColWidth="10" defaultRowHeight="15" x14ac:dyDescent="0"/>
  <cols>
    <col min="1" max="1" width="60.66406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40.6640625" style="1" customWidth="1"/>
    <col min="11" max="11" width="10.6640625" style="4" customWidth="1"/>
    <col min="12" max="12" width="16.83203125" style="1" customWidth="1"/>
    <col min="13" max="13" width="5" style="1" customWidth="1"/>
    <col min="14" max="14" width="17.1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106</v>
      </c>
      <c r="B2" s="19" t="s">
        <v>58</v>
      </c>
      <c r="D2" s="19" t="s">
        <v>58</v>
      </c>
      <c r="K2" s="19" t="s">
        <v>58</v>
      </c>
      <c r="L2" s="24" t="s">
        <v>101</v>
      </c>
      <c r="N2" s="24" t="s">
        <v>101</v>
      </c>
    </row>
    <row r="3" spans="1:14">
      <c r="B3" s="21" t="s">
        <v>59</v>
      </c>
      <c r="C3" s="14" t="s">
        <v>83</v>
      </c>
      <c r="D3" s="21" t="s">
        <v>59</v>
      </c>
      <c r="E3" s="14" t="s">
        <v>77</v>
      </c>
      <c r="F3" s="14"/>
      <c r="G3" s="14" t="s">
        <v>61</v>
      </c>
      <c r="H3" s="14"/>
      <c r="I3" s="14"/>
      <c r="J3" s="14"/>
      <c r="K3" s="21" t="s">
        <v>59</v>
      </c>
      <c r="L3" s="14" t="s">
        <v>83</v>
      </c>
      <c r="M3" s="14"/>
      <c r="N3" s="14" t="s">
        <v>77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4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49</v>
      </c>
      <c r="B6" s="23">
        <f>(C6-E6)/E6</f>
        <v>-4.3746235695643447E-2</v>
      </c>
      <c r="C6" s="1">
        <v>47631</v>
      </c>
      <c r="D6" s="23">
        <f>(E6-G6)/G6</f>
        <v>2.9451276221969618E-2</v>
      </c>
      <c r="E6" s="1">
        <v>49810</v>
      </c>
      <c r="F6" s="4"/>
      <c r="G6" s="1">
        <v>48385</v>
      </c>
      <c r="H6" s="4"/>
      <c r="I6" s="4"/>
      <c r="J6" s="1" t="s">
        <v>38</v>
      </c>
      <c r="K6" s="23">
        <f>(L6-N6)/N6</f>
        <v>-5.0640980239393722E-2</v>
      </c>
      <c r="L6" s="1">
        <v>26808</v>
      </c>
      <c r="N6" s="1">
        <v>28238</v>
      </c>
    </row>
    <row r="7" spans="1:14">
      <c r="A7" s="1" t="s">
        <v>50</v>
      </c>
      <c r="B7" s="23" t="e">
        <f t="shared" ref="B7:B23" si="0">(C7-E7)/E7</f>
        <v>#DIV/0!</v>
      </c>
      <c r="C7" s="2"/>
      <c r="D7" s="23" t="e">
        <f t="shared" ref="D7:D23" si="1">(E7-G7)/G7</f>
        <v>#DIV/0!</v>
      </c>
      <c r="E7" s="2"/>
      <c r="G7" s="2"/>
      <c r="H7" s="4"/>
      <c r="I7" s="4"/>
      <c r="J7" s="1" t="s">
        <v>13</v>
      </c>
      <c r="K7" s="23">
        <f t="shared" ref="K7:K9" si="2">(L7-N7)/N7</f>
        <v>-0.35988920398338059</v>
      </c>
      <c r="L7" s="1">
        <v>19412</v>
      </c>
      <c r="N7" s="1">
        <v>30326</v>
      </c>
    </row>
    <row r="8" spans="1:14">
      <c r="A8" s="7" t="s">
        <v>51</v>
      </c>
      <c r="B8" s="23">
        <f t="shared" si="0"/>
        <v>-4.3746235695643447E-2</v>
      </c>
      <c r="C8" s="1">
        <f>SUM(C6:C7)</f>
        <v>47631</v>
      </c>
      <c r="D8" s="23">
        <f t="shared" si="1"/>
        <v>2.9451276221969618E-2</v>
      </c>
      <c r="E8" s="1">
        <f>SUM(E6:E7)</f>
        <v>49810</v>
      </c>
      <c r="G8" s="1">
        <f>SUM(G6:G7)</f>
        <v>48385</v>
      </c>
      <c r="H8" s="3"/>
      <c r="I8" s="3"/>
      <c r="J8" s="1" t="s">
        <v>14</v>
      </c>
      <c r="K8" s="23">
        <f t="shared" si="2"/>
        <v>-0.1495424468534422</v>
      </c>
      <c r="L8" s="1">
        <v>30204</v>
      </c>
      <c r="N8" s="1">
        <v>35515</v>
      </c>
    </row>
    <row r="9" spans="1:14">
      <c r="A9" s="1" t="s">
        <v>1</v>
      </c>
      <c r="B9" s="23">
        <f t="shared" si="0"/>
        <v>-5.8208264102633946E-2</v>
      </c>
      <c r="C9" s="2">
        <v>-34576</v>
      </c>
      <c r="D9" s="23">
        <f t="shared" si="1"/>
        <v>4.6759615658768856E-2</v>
      </c>
      <c r="E9" s="2">
        <v>-36713</v>
      </c>
      <c r="F9" s="4"/>
      <c r="G9" s="2">
        <v>-35073</v>
      </c>
      <c r="H9" s="4"/>
      <c r="I9" s="4"/>
      <c r="J9" s="1" t="s">
        <v>39</v>
      </c>
      <c r="K9" s="23">
        <f t="shared" si="2"/>
        <v>0.29099804305283755</v>
      </c>
      <c r="L9" s="1">
        <f>3138+3459</f>
        <v>6597</v>
      </c>
      <c r="N9" s="1">
        <f>479+4631</f>
        <v>5110</v>
      </c>
    </row>
    <row r="10" spans="1:14">
      <c r="A10" s="7" t="s">
        <v>2</v>
      </c>
      <c r="B10" s="23">
        <f t="shared" si="0"/>
        <v>-3.206841261357563E-3</v>
      </c>
      <c r="C10" s="1">
        <f>C8+C9</f>
        <v>13055</v>
      </c>
      <c r="D10" s="23">
        <f t="shared" si="1"/>
        <v>-1.6150841346153848E-2</v>
      </c>
      <c r="E10" s="1">
        <f>E8+E9</f>
        <v>13097</v>
      </c>
      <c r="F10" s="3"/>
      <c r="G10" s="1">
        <f>G8+G9</f>
        <v>13312</v>
      </c>
      <c r="H10" s="4"/>
      <c r="I10" s="4"/>
      <c r="J10" s="1" t="s">
        <v>15</v>
      </c>
      <c r="K10" s="23">
        <f>(L10-N10)/N10</f>
        <v>-0.14152476506747685</v>
      </c>
      <c r="L10" s="1">
        <v>24300</v>
      </c>
      <c r="N10" s="1">
        <v>28306</v>
      </c>
    </row>
    <row r="11" spans="1:14">
      <c r="A11" s="1" t="s">
        <v>37</v>
      </c>
      <c r="B11" s="23" t="e">
        <f t="shared" si="0"/>
        <v>#DIV/0!</v>
      </c>
      <c r="D11" s="23" t="e">
        <f t="shared" si="1"/>
        <v>#DIV/0!</v>
      </c>
      <c r="H11" s="3"/>
      <c r="I11" s="3"/>
      <c r="J11" s="1" t="s">
        <v>16</v>
      </c>
      <c r="K11" s="23">
        <f>(L11-N11)/N11</f>
        <v>-0.23117832807046701</v>
      </c>
      <c r="L11" s="2">
        <f>57+4569</f>
        <v>4626</v>
      </c>
      <c r="N11" s="2">
        <f>224+5793</f>
        <v>6017</v>
      </c>
    </row>
    <row r="12" spans="1:14">
      <c r="A12" s="1" t="s">
        <v>3</v>
      </c>
      <c r="B12" s="23" t="e">
        <f t="shared" si="0"/>
        <v>#DIV/0!</v>
      </c>
      <c r="D12" s="23" t="e">
        <f t="shared" si="1"/>
        <v>#DIV/0!</v>
      </c>
      <c r="F12" s="4"/>
      <c r="H12" s="4"/>
      <c r="I12" s="4"/>
      <c r="K12" s="23">
        <f>(L12-N12)/N12</f>
        <v>-0.16152106177721853</v>
      </c>
      <c r="L12" s="9">
        <f>SUM(L6:L11)</f>
        <v>111947</v>
      </c>
      <c r="N12" s="9">
        <f>SUM(N6:N11)</f>
        <v>133512</v>
      </c>
    </row>
    <row r="13" spans="1:14">
      <c r="A13" s="1" t="s">
        <v>4</v>
      </c>
      <c r="B13" s="23">
        <f t="shared" si="0"/>
        <v>-5.035512657075214E-2</v>
      </c>
      <c r="C13" s="1">
        <f>-4349-6080</f>
        <v>-10429</v>
      </c>
      <c r="D13" s="23">
        <f t="shared" si="1"/>
        <v>-2.9959146618247843E-3</v>
      </c>
      <c r="E13" s="1">
        <f>-4603-6379</f>
        <v>-10982</v>
      </c>
      <c r="G13" s="1">
        <f>-4181-6834</f>
        <v>-11015</v>
      </c>
      <c r="H13" s="4"/>
      <c r="I13" s="4"/>
      <c r="J13" s="8" t="s">
        <v>17</v>
      </c>
      <c r="K13" s="22"/>
    </row>
    <row r="14" spans="1:14">
      <c r="A14" s="1" t="s">
        <v>52</v>
      </c>
      <c r="B14" s="23" t="e">
        <f t="shared" si="0"/>
        <v>#DIV/0!</v>
      </c>
      <c r="D14" s="23" t="e">
        <f t="shared" si="1"/>
        <v>#DIV/0!</v>
      </c>
      <c r="H14" s="3"/>
      <c r="I14" s="3"/>
      <c r="J14" s="1" t="s">
        <v>40</v>
      </c>
      <c r="K14" s="23">
        <f t="shared" ref="K14:K15" si="3">(L14-N14)/N14</f>
        <v>-0.19553072625698323</v>
      </c>
      <c r="L14" s="1">
        <v>576</v>
      </c>
      <c r="N14" s="1">
        <v>716</v>
      </c>
    </row>
    <row r="15" spans="1:14">
      <c r="A15" s="1" t="s">
        <v>33</v>
      </c>
      <c r="B15" s="23">
        <f t="shared" si="0"/>
        <v>-2.2304093567251462</v>
      </c>
      <c r="C15" s="2">
        <v>1052</v>
      </c>
      <c r="D15" s="23">
        <f t="shared" si="1"/>
        <v>4.8561643835616435</v>
      </c>
      <c r="E15" s="2">
        <f>-569-286</f>
        <v>-855</v>
      </c>
      <c r="F15" s="4"/>
      <c r="G15" s="2">
        <v>-146</v>
      </c>
      <c r="H15" s="4"/>
      <c r="I15" s="4"/>
      <c r="J15" s="1" t="s">
        <v>18</v>
      </c>
      <c r="K15" s="23">
        <f t="shared" si="3"/>
        <v>-0.14704610327826312</v>
      </c>
      <c r="L15" s="1">
        <v>9861</v>
      </c>
      <c r="N15" s="1">
        <v>11561</v>
      </c>
    </row>
    <row r="16" spans="1:14">
      <c r="A16" s="7" t="s">
        <v>5</v>
      </c>
      <c r="B16" s="23">
        <f t="shared" si="0"/>
        <v>1.9190476190476191</v>
      </c>
      <c r="C16" s="1">
        <f>SUM(C10:C15)</f>
        <v>3678</v>
      </c>
      <c r="D16" s="23">
        <f t="shared" si="1"/>
        <v>-0.41422594142259417</v>
      </c>
      <c r="E16" s="1">
        <f>SUM(E10:E15)</f>
        <v>1260</v>
      </c>
      <c r="F16" s="3"/>
      <c r="G16" s="1">
        <f>SUM(G10:G15)</f>
        <v>2151</v>
      </c>
      <c r="H16" s="3"/>
      <c r="I16" s="3"/>
      <c r="J16" s="1" t="s">
        <v>19</v>
      </c>
      <c r="K16" s="23">
        <f>(L16-N16)/N16</f>
        <v>-0.89300998573466472</v>
      </c>
      <c r="L16" s="1">
        <f>150</f>
        <v>150</v>
      </c>
      <c r="N16" s="1">
        <f>1402</f>
        <v>1402</v>
      </c>
    </row>
    <row r="17" spans="1:14">
      <c r="A17" s="1" t="s">
        <v>6</v>
      </c>
      <c r="B17" s="23">
        <f t="shared" si="0"/>
        <v>-0.38211920529801324</v>
      </c>
      <c r="C17" s="1">
        <f>-1+474-1406</f>
        <v>-933</v>
      </c>
      <c r="D17" s="23">
        <f t="shared" si="1"/>
        <v>3.4542772861356932</v>
      </c>
      <c r="E17" s="1">
        <f>-3+539-2046</f>
        <v>-1510</v>
      </c>
      <c r="F17" s="4"/>
      <c r="G17" s="1">
        <f>-23+1083-1399</f>
        <v>-339</v>
      </c>
      <c r="J17" s="1" t="s">
        <v>53</v>
      </c>
      <c r="K17" s="23">
        <f>(L17-N17)/N17</f>
        <v>0.14671163575042159</v>
      </c>
      <c r="L17" s="1">
        <v>6120</v>
      </c>
      <c r="N17" s="1">
        <v>5337</v>
      </c>
    </row>
    <row r="18" spans="1:14">
      <c r="A18" s="1" t="s">
        <v>7</v>
      </c>
      <c r="B18" s="23">
        <f t="shared" si="0"/>
        <v>-0.21666666666666667</v>
      </c>
      <c r="C18" s="2">
        <v>47</v>
      </c>
      <c r="D18" s="23">
        <f t="shared" si="1"/>
        <v>-1.7692307692307692</v>
      </c>
      <c r="E18" s="2">
        <v>60</v>
      </c>
      <c r="F18" s="4"/>
      <c r="G18" s="2">
        <v>-78</v>
      </c>
      <c r="J18" s="1" t="s">
        <v>78</v>
      </c>
      <c r="K18" s="23">
        <f>(L18-N18)/N18</f>
        <v>-0.31628230924005574</v>
      </c>
      <c r="L18" s="1">
        <v>8835</v>
      </c>
      <c r="N18" s="1">
        <v>12922</v>
      </c>
    </row>
    <row r="19" spans="1:14">
      <c r="A19" s="7" t="s">
        <v>34</v>
      </c>
      <c r="B19" s="23">
        <f t="shared" si="0"/>
        <v>-15.694736842105263</v>
      </c>
      <c r="C19" s="1">
        <f>SUM(C16:C18)</f>
        <v>2792</v>
      </c>
      <c r="D19" s="23">
        <f t="shared" si="1"/>
        <v>-1.1095732410611303</v>
      </c>
      <c r="E19" s="1">
        <f>SUM(E16:E18)</f>
        <v>-190</v>
      </c>
      <c r="F19" s="3"/>
      <c r="G19" s="1">
        <f>SUM(G16:G18)</f>
        <v>1734</v>
      </c>
      <c r="J19" s="1" t="s">
        <v>41</v>
      </c>
      <c r="K19" s="23">
        <f>(L19-N19)/N19</f>
        <v>3.7019414820891443</v>
      </c>
      <c r="L19" s="2">
        <v>17195</v>
      </c>
      <c r="N19" s="2">
        <v>3657</v>
      </c>
    </row>
    <row r="20" spans="1:14">
      <c r="A20" s="1" t="s">
        <v>8</v>
      </c>
      <c r="B20" s="23">
        <f t="shared" si="0"/>
        <v>-3.5041523192222E-2</v>
      </c>
      <c r="C20" s="2">
        <v>-4764</v>
      </c>
      <c r="D20" s="23">
        <f t="shared" si="1"/>
        <v>-1.8132103442595948</v>
      </c>
      <c r="E20" s="2">
        <v>-4937</v>
      </c>
      <c r="F20" s="4"/>
      <c r="G20" s="2">
        <v>6071</v>
      </c>
      <c r="K20" s="23">
        <f>(L20-N20)/N20</f>
        <v>0.20064615816828207</v>
      </c>
      <c r="L20" s="1">
        <f>SUM(L14:L19)</f>
        <v>42737</v>
      </c>
      <c r="N20" s="1">
        <f>SUM(N14:N19)</f>
        <v>35595</v>
      </c>
    </row>
    <row r="21" spans="1:14">
      <c r="A21" s="7" t="s">
        <v>35</v>
      </c>
      <c r="B21" s="23">
        <f t="shared" si="0"/>
        <v>-0.6153696118587868</v>
      </c>
      <c r="C21" s="9">
        <f>SUM(C19:C20)</f>
        <v>-1972</v>
      </c>
      <c r="D21" s="23">
        <f t="shared" si="1"/>
        <v>-1.6568866111467009</v>
      </c>
      <c r="E21" s="9">
        <f>SUM(E19:E20)</f>
        <v>-5127</v>
      </c>
      <c r="F21" s="3"/>
      <c r="G21" s="9">
        <f>SUM(G19:G20)</f>
        <v>7805</v>
      </c>
    </row>
    <row r="22" spans="1:14" ht="16" thickBot="1">
      <c r="A22" s="1" t="s">
        <v>36</v>
      </c>
      <c r="B22" s="23">
        <f t="shared" si="0"/>
        <v>-822.4</v>
      </c>
      <c r="C22" s="1">
        <v>-4107</v>
      </c>
      <c r="D22" s="23">
        <f t="shared" si="1"/>
        <v>-1.0152439024390243</v>
      </c>
      <c r="E22" s="1">
        <v>5</v>
      </c>
      <c r="G22" s="1">
        <v>-328</v>
      </c>
      <c r="J22" s="10" t="s">
        <v>20</v>
      </c>
      <c r="K22" s="23">
        <f>(L22-N22)/N22</f>
        <v>-8.52891955980533E-2</v>
      </c>
      <c r="L22" s="5">
        <f>L20+L12</f>
        <v>154684</v>
      </c>
      <c r="N22" s="5">
        <f>N20+N12</f>
        <v>169107</v>
      </c>
    </row>
    <row r="23" spans="1:14" ht="17" thickTop="1" thickBot="1">
      <c r="A23" s="7" t="s">
        <v>9</v>
      </c>
      <c r="B23" s="23">
        <f t="shared" si="0"/>
        <v>0.18684107770402186</v>
      </c>
      <c r="C23" s="5">
        <f>SUM(C21:C22)</f>
        <v>-6079</v>
      </c>
      <c r="D23" s="23">
        <f t="shared" si="1"/>
        <v>-1.6850341045874013</v>
      </c>
      <c r="E23" s="5">
        <f>SUM(E21:E22)</f>
        <v>-5122</v>
      </c>
      <c r="G23" s="5">
        <f>SUM(G21:G22)</f>
        <v>7477</v>
      </c>
    </row>
    <row r="24" spans="1:14" ht="16" thickTop="1">
      <c r="C24" s="12"/>
      <c r="E24" s="12"/>
      <c r="G24" s="12"/>
    </row>
    <row r="25" spans="1:14">
      <c r="A25" s="8" t="s">
        <v>30</v>
      </c>
      <c r="B25" s="20"/>
      <c r="C25" s="12"/>
      <c r="E25" s="12"/>
      <c r="G25" s="12"/>
    </row>
    <row r="26" spans="1:14">
      <c r="A26" s="1" t="s">
        <v>65</v>
      </c>
      <c r="B26" s="19" t="s">
        <v>63</v>
      </c>
      <c r="C26" s="12">
        <f>C10/C6</f>
        <v>0.27408620436270498</v>
      </c>
      <c r="E26" s="12">
        <f>E10/E6</f>
        <v>0.26293916884159807</v>
      </c>
      <c r="G26" s="12">
        <f>G10/G6</f>
        <v>0.27512658881884883</v>
      </c>
      <c r="J26" s="8" t="s">
        <v>21</v>
      </c>
      <c r="K26" s="22"/>
    </row>
    <row r="27" spans="1:14">
      <c r="A27" s="1" t="s">
        <v>66</v>
      </c>
      <c r="B27" s="19" t="s">
        <v>63</v>
      </c>
      <c r="C27" s="12">
        <f>C16/C6</f>
        <v>7.7218618126850158E-2</v>
      </c>
      <c r="E27" s="12">
        <f>E16/E6</f>
        <v>2.5296125276048985E-2</v>
      </c>
      <c r="G27" s="12">
        <f>G16/G6</f>
        <v>4.4455926423478349E-2</v>
      </c>
      <c r="J27" s="1" t="s">
        <v>54</v>
      </c>
      <c r="K27" s="23">
        <f t="shared" ref="K27:K28" si="4">(L27-N27)/N27</f>
        <v>-0.40518262586377096</v>
      </c>
      <c r="L27" s="1">
        <v>12051</v>
      </c>
      <c r="N27" s="1">
        <v>20260</v>
      </c>
    </row>
    <row r="28" spans="1:14">
      <c r="A28" s="1" t="s">
        <v>67</v>
      </c>
      <c r="B28" s="19" t="s">
        <v>63</v>
      </c>
      <c r="C28" s="12">
        <f>C23/C6</f>
        <v>-0.12762696563162645</v>
      </c>
      <c r="E28" s="12">
        <f>E23/E6</f>
        <v>-0.10283075687612929</v>
      </c>
      <c r="G28" s="12">
        <f>G23/G6</f>
        <v>0.15453136302573112</v>
      </c>
      <c r="J28" s="1" t="s">
        <v>22</v>
      </c>
      <c r="K28" s="23">
        <f t="shared" si="4"/>
        <v>-0.15390028146361079</v>
      </c>
      <c r="L28" s="1">
        <v>16834</v>
      </c>
      <c r="N28" s="1">
        <v>19896</v>
      </c>
    </row>
    <row r="29" spans="1:14">
      <c r="A29" s="1" t="s">
        <v>68</v>
      </c>
      <c r="B29" s="19" t="s">
        <v>63</v>
      </c>
      <c r="C29" s="12">
        <f>C23/L42</f>
        <v>-8.2461780545042662E-2</v>
      </c>
      <c r="E29" s="12">
        <f>E23/N42</f>
        <v>-6.0162563427927078E-2</v>
      </c>
      <c r="G29" s="12"/>
      <c r="J29" s="1" t="s">
        <v>55</v>
      </c>
      <c r="K29" s="23">
        <f>(L29-N29)/N29</f>
        <v>-3.2210834553440704E-2</v>
      </c>
      <c r="L29" s="1">
        <v>661</v>
      </c>
      <c r="N29" s="1">
        <v>683</v>
      </c>
    </row>
    <row r="30" spans="1:14">
      <c r="A30" s="1" t="s">
        <v>69</v>
      </c>
      <c r="B30" s="19" t="s">
        <v>63</v>
      </c>
      <c r="C30" s="12">
        <f>(C16+C18)/(L42+L36)</f>
        <v>3.4413628720829252E-2</v>
      </c>
      <c r="E30" s="12">
        <f>(E16+E18)/(L42+N36)</f>
        <v>1.1912497292614252E-2</v>
      </c>
      <c r="G30" s="12"/>
      <c r="J30" s="1" t="s">
        <v>23</v>
      </c>
      <c r="K30" s="23">
        <f>(L30-N30)/N30</f>
        <v>9.4989561586638835E-2</v>
      </c>
      <c r="L30" s="1">
        <v>1049</v>
      </c>
      <c r="N30" s="1">
        <v>958</v>
      </c>
    </row>
    <row r="31" spans="1:14">
      <c r="J31" s="1" t="s">
        <v>24</v>
      </c>
      <c r="K31" s="23" t="e">
        <f>(L31-N31)/N31</f>
        <v>#DIV/0!</v>
      </c>
    </row>
    <row r="32" spans="1:14">
      <c r="A32" s="8" t="s">
        <v>31</v>
      </c>
      <c r="B32" s="20"/>
      <c r="J32" s="1" t="s">
        <v>42</v>
      </c>
      <c r="K32" s="23">
        <f>(L32-N32)/N32</f>
        <v>25.926940639269407</v>
      </c>
      <c r="L32" s="2">
        <v>11794</v>
      </c>
      <c r="N32" s="2">
        <v>438</v>
      </c>
    </row>
    <row r="33" spans="1:14">
      <c r="A33" s="1" t="s">
        <v>70</v>
      </c>
      <c r="B33" s="19" t="s">
        <v>71</v>
      </c>
      <c r="C33" s="13">
        <f>L20/L33</f>
        <v>1.0082096770388544</v>
      </c>
      <c r="E33" s="13">
        <f>N20/N33</f>
        <v>0.84278442050432101</v>
      </c>
      <c r="G33" s="13"/>
      <c r="K33" s="23">
        <f>(L33-N33)/N33</f>
        <v>3.6462649461347224E-3</v>
      </c>
      <c r="L33" s="1">
        <f>SUM(L27:L32)</f>
        <v>42389</v>
      </c>
      <c r="N33" s="1">
        <f>SUM(N27:N32)</f>
        <v>42235</v>
      </c>
    </row>
    <row r="34" spans="1:14">
      <c r="A34" s="1" t="s">
        <v>72</v>
      </c>
      <c r="B34" s="19" t="s">
        <v>71</v>
      </c>
      <c r="C34" s="13">
        <f>(L20-L14)/L33</f>
        <v>0.99462124607799196</v>
      </c>
      <c r="E34" s="13">
        <f>(N20-N14)/N33</f>
        <v>0.8258316562093051</v>
      </c>
      <c r="G34" s="13"/>
    </row>
    <row r="35" spans="1:14">
      <c r="J35" s="8" t="s">
        <v>25</v>
      </c>
      <c r="K35" s="22"/>
    </row>
    <row r="36" spans="1:14">
      <c r="A36" s="8" t="s">
        <v>45</v>
      </c>
      <c r="B36" s="20"/>
      <c r="C36" s="13"/>
      <c r="E36" s="13"/>
      <c r="G36" s="13"/>
      <c r="J36" s="1" t="s">
        <v>56</v>
      </c>
      <c r="K36" s="23">
        <f t="shared" ref="K36:K38" si="5">(L36-N36)/N36</f>
        <v>-6.9184933538245841E-2</v>
      </c>
      <c r="L36" s="1">
        <v>34523</v>
      </c>
      <c r="N36" s="1">
        <v>37089</v>
      </c>
    </row>
    <row r="37" spans="1:14">
      <c r="A37" s="1" t="s">
        <v>73</v>
      </c>
      <c r="B37" s="19" t="s">
        <v>62</v>
      </c>
      <c r="C37" s="13">
        <f>C6/L12</f>
        <v>0.42547812804273449</v>
      </c>
      <c r="E37" s="13">
        <f>E6/N12</f>
        <v>0.37307507939361256</v>
      </c>
      <c r="G37" s="13"/>
      <c r="J37" s="1" t="s">
        <v>23</v>
      </c>
      <c r="K37" s="23">
        <f t="shared" si="5"/>
        <v>-0.30203829524397774</v>
      </c>
      <c r="L37" s="1">
        <v>1130</v>
      </c>
      <c r="N37" s="1">
        <v>1619</v>
      </c>
    </row>
    <row r="38" spans="1:14">
      <c r="A38" s="1" t="s">
        <v>74</v>
      </c>
      <c r="B38" s="19" t="s">
        <v>75</v>
      </c>
      <c r="C38" s="1">
        <f>(L14/C9)*365*-1</f>
        <v>6.0805182785747336</v>
      </c>
      <c r="E38" s="1">
        <f>(N14/E9)*365*-1</f>
        <v>7.1184594013019904</v>
      </c>
      <c r="J38" s="1" t="s">
        <v>79</v>
      </c>
      <c r="K38" s="23">
        <f t="shared" si="5"/>
        <v>-5.1418439716312055E-2</v>
      </c>
      <c r="L38" s="1">
        <v>535</v>
      </c>
      <c r="N38" s="1">
        <v>564</v>
      </c>
    </row>
    <row r="39" spans="1:14">
      <c r="A39" s="1" t="s">
        <v>76</v>
      </c>
      <c r="B39" s="19" t="s">
        <v>62</v>
      </c>
      <c r="C39" s="18">
        <f>C9/L14*-1</f>
        <v>60.027777777777779</v>
      </c>
      <c r="E39" s="18">
        <f>E9/N14*-1</f>
        <v>51.27513966480447</v>
      </c>
      <c r="G39" s="18"/>
      <c r="J39" s="1" t="s">
        <v>26</v>
      </c>
      <c r="K39" s="23">
        <f>(L39-N39)/N39</f>
        <v>0.15221238938053097</v>
      </c>
      <c r="L39" s="1">
        <v>651</v>
      </c>
      <c r="N39" s="1">
        <v>565</v>
      </c>
    </row>
    <row r="40" spans="1:14">
      <c r="A40" s="1" t="s">
        <v>43</v>
      </c>
      <c r="B40" s="19" t="s">
        <v>75</v>
      </c>
      <c r="C40" s="18">
        <f>(L15-(L15*20%))/C6*365</f>
        <v>60.452478427914592</v>
      </c>
      <c r="E40" s="18">
        <f>(N15-(N15*20%))/E6*365</f>
        <v>67.773780365388475</v>
      </c>
      <c r="G40" s="18"/>
      <c r="J40" s="1" t="s">
        <v>16</v>
      </c>
      <c r="K40" s="23">
        <f>(L40-N40)/N40</f>
        <v>-8.5308056872037921E-2</v>
      </c>
      <c r="L40" s="2">
        <f>1737</f>
        <v>1737</v>
      </c>
      <c r="N40" s="2">
        <v>1899</v>
      </c>
    </row>
    <row r="41" spans="1:14">
      <c r="A41" s="1" t="s">
        <v>44</v>
      </c>
      <c r="B41" s="19" t="s">
        <v>75</v>
      </c>
      <c r="C41" s="18">
        <f>(L28-(L28*20%))/C9*365*-1</f>
        <v>142.16589541878761</v>
      </c>
      <c r="E41" s="18">
        <f>(N28-(N28*20%))/E9*365*-1</f>
        <v>158.24454552883176</v>
      </c>
      <c r="G41" s="18"/>
      <c r="L41" s="1">
        <f>SUM(L36:L40)</f>
        <v>38576</v>
      </c>
      <c r="N41" s="1">
        <f>SUM(N36:N40)</f>
        <v>41736</v>
      </c>
    </row>
    <row r="42" spans="1:14">
      <c r="J42" s="1" t="s">
        <v>27</v>
      </c>
      <c r="K42" s="23">
        <f t="shared" ref="K42:K43" si="6">(L42-N42)/N42</f>
        <v>-0.13410308212741967</v>
      </c>
      <c r="L42" s="1">
        <v>73719</v>
      </c>
      <c r="N42" s="1">
        <v>85136</v>
      </c>
    </row>
    <row r="43" spans="1:14" ht="16" thickBot="1">
      <c r="A43" s="8" t="s">
        <v>46</v>
      </c>
      <c r="B43" s="20"/>
      <c r="J43" s="1" t="s">
        <v>28</v>
      </c>
      <c r="K43" s="23">
        <f t="shared" si="6"/>
        <v>-8.52891955980533E-2</v>
      </c>
      <c r="L43" s="5">
        <f>L33+L41+L42</f>
        <v>154684</v>
      </c>
      <c r="N43" s="5">
        <f>N33+N41+N42</f>
        <v>169107</v>
      </c>
    </row>
    <row r="44" spans="1:14" ht="16" thickTop="1">
      <c r="A44" s="1" t="s">
        <v>91</v>
      </c>
      <c r="B44" s="19" t="s">
        <v>80</v>
      </c>
      <c r="C44" s="15">
        <f>C23/(L46/1000000)</f>
        <v>-0.21733223695970827</v>
      </c>
      <c r="E44" s="15">
        <f>E23/(N46/1000000)</f>
        <v>-0.19189270193316349</v>
      </c>
      <c r="G44" s="15"/>
    </row>
    <row r="45" spans="1:14">
      <c r="A45" s="1" t="s">
        <v>81</v>
      </c>
      <c r="B45" s="19" t="s">
        <v>62</v>
      </c>
      <c r="C45" s="13">
        <f>L47/C44</f>
        <v>-9.5752016779075504</v>
      </c>
      <c r="E45" s="13">
        <f>N47/E44</f>
        <v>-11.475162827020695</v>
      </c>
      <c r="G45" s="13"/>
    </row>
    <row r="46" spans="1:14">
      <c r="A46" s="1" t="s">
        <v>92</v>
      </c>
      <c r="B46" s="19" t="s">
        <v>62</v>
      </c>
      <c r="C46" s="1">
        <f>C44/L49</f>
        <v>-1.7470437054638927E-2</v>
      </c>
      <c r="E46" s="1">
        <f>E44/N49</f>
        <v>-1.698165503833305E-2</v>
      </c>
      <c r="J46" s="1" t="s">
        <v>82</v>
      </c>
      <c r="K46" s="23">
        <f t="shared" ref="K46:K49" si="7">(L46-N46)/N46</f>
        <v>4.7916978870073429E-2</v>
      </c>
      <c r="L46" s="2">
        <v>27971000000</v>
      </c>
      <c r="N46" s="2">
        <v>26692000000</v>
      </c>
    </row>
    <row r="47" spans="1:14">
      <c r="A47" s="1" t="s">
        <v>93</v>
      </c>
      <c r="B47" s="19" t="s">
        <v>63</v>
      </c>
      <c r="C47" s="12">
        <f>L49/L47</f>
        <v>5.9778952426717931</v>
      </c>
      <c r="E47" s="12">
        <f>N49/N47</f>
        <v>5.1316984559491372</v>
      </c>
      <c r="G47" s="12"/>
      <c r="J47" s="1" t="s">
        <v>47</v>
      </c>
      <c r="K47" s="23">
        <f t="shared" si="7"/>
        <v>-5.4950045413260672E-2</v>
      </c>
      <c r="L47" s="16">
        <f>208.1/100</f>
        <v>2.081</v>
      </c>
      <c r="N47" s="17">
        <f>220.2/100</f>
        <v>2.202</v>
      </c>
    </row>
    <row r="48" spans="1:14">
      <c r="A48" s="1" t="s">
        <v>90</v>
      </c>
      <c r="B48" s="19" t="s">
        <v>64</v>
      </c>
      <c r="C48" s="13">
        <f>L36/(L42+L36)</f>
        <v>0.31894273941723178</v>
      </c>
      <c r="E48" s="13">
        <f>N36/(N42+N36)</f>
        <v>0.30344855798731846</v>
      </c>
      <c r="G48" s="13"/>
      <c r="J48" s="1" t="s">
        <v>48</v>
      </c>
      <c r="K48" s="23">
        <f t="shared" si="7"/>
        <v>-9.6661067081640281E-3</v>
      </c>
      <c r="L48" s="2">
        <f>L46*L47</f>
        <v>58207651000</v>
      </c>
      <c r="N48" s="2">
        <f>N46*N47</f>
        <v>58775784000</v>
      </c>
    </row>
    <row r="49" spans="1:14">
      <c r="A49" s="1" t="s">
        <v>94</v>
      </c>
      <c r="B49" s="19" t="s">
        <v>62</v>
      </c>
      <c r="C49" s="13">
        <f>(C16+C18)/C17*-1</f>
        <v>3.992497320471597</v>
      </c>
      <c r="E49" s="13">
        <f>(E16+E18)/E17*-1</f>
        <v>0.8741721854304636</v>
      </c>
      <c r="G49" s="13">
        <f>(G16+G18)/G17*-1</f>
        <v>6.115044247787611</v>
      </c>
      <c r="J49" s="1" t="s">
        <v>57</v>
      </c>
      <c r="K49" s="23">
        <f t="shared" si="7"/>
        <v>0.10088495575221243</v>
      </c>
      <c r="L49" s="16">
        <f>7.7+4.74</f>
        <v>12.440000000000001</v>
      </c>
      <c r="N49" s="16">
        <f>7.62+3.68</f>
        <v>11.3</v>
      </c>
    </row>
    <row r="51" spans="1:14">
      <c r="A51" s="8" t="s">
        <v>32</v>
      </c>
      <c r="B51" s="20"/>
      <c r="L51" s="1">
        <v>28814142848</v>
      </c>
      <c r="N51" s="1">
        <v>28813396008</v>
      </c>
    </row>
    <row r="52" spans="1:14">
      <c r="A52" s="1" t="s">
        <v>107</v>
      </c>
      <c r="B52" s="19" t="s">
        <v>63</v>
      </c>
      <c r="C52" s="12">
        <f>C20/C19</f>
        <v>-1.7063037249283668</v>
      </c>
      <c r="E52" s="12">
        <f>E20/E19</f>
        <v>25.984210526315788</v>
      </c>
      <c r="G52" s="12">
        <f>G20/G19</f>
        <v>3.5011534025374855</v>
      </c>
    </row>
    <row r="53" spans="1:14">
      <c r="A53" s="1" t="s">
        <v>108</v>
      </c>
      <c r="B53" s="19" t="s">
        <v>63</v>
      </c>
      <c r="C53" s="12">
        <f>C12/C6</f>
        <v>0</v>
      </c>
      <c r="E53" s="12">
        <f>E12/E6</f>
        <v>0</v>
      </c>
      <c r="G53" s="12">
        <f>G12/G6</f>
        <v>0</v>
      </c>
    </row>
    <row r="54" spans="1:14">
      <c r="A54" s="1" t="s">
        <v>109</v>
      </c>
      <c r="B54" s="19" t="s">
        <v>63</v>
      </c>
      <c r="C54" s="12">
        <f>(L6+L7)/L22</f>
        <v>0.29880272038478445</v>
      </c>
      <c r="E54" s="12">
        <f>(N6+N7)/N22</f>
        <v>0.34631328094046965</v>
      </c>
    </row>
    <row r="55" spans="1:14">
      <c r="A55" s="1" t="s">
        <v>110</v>
      </c>
      <c r="B55" s="19" t="s">
        <v>63</v>
      </c>
      <c r="C55" s="12">
        <f>(L6+L7)/L42</f>
        <v>0.62697540661159268</v>
      </c>
      <c r="E55" s="12">
        <f>(N6+N7)/N42</f>
        <v>0.68788761510994179</v>
      </c>
    </row>
  </sheetData>
  <phoneticPr fontId="7" type="noConversion"/>
  <pageMargins left="0.75000000000000011" right="0.75000000000000011" top="1" bottom="1" header="0.5" footer="0.5"/>
  <pageSetup paperSize="9" scale="50" orientation="landscape" horizontalDpi="4294967292" verticalDpi="4294967292"/>
  <headerFooter>
    <oddHeader xml:space="preserve">&amp;L&amp;"Calibri,Regular"&amp;K000000RA1 Research assignment template 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</vt:lpstr>
      <vt:lpstr>Template with Formulas</vt:lpstr>
      <vt:lpstr>Barclays</vt:lpstr>
      <vt:lpstr>L'Oreal</vt:lpstr>
      <vt:lpstr>Nestlé</vt:lpstr>
      <vt:lpstr>Siemens</vt:lpstr>
      <vt:lpstr>Vodafone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2018-01-29T15:51:42Z</cp:lastPrinted>
  <dcterms:created xsi:type="dcterms:W3CDTF">2014-01-25T14:54:23Z</dcterms:created>
  <dcterms:modified xsi:type="dcterms:W3CDTF">2018-01-29T15:51:55Z</dcterms:modified>
</cp:coreProperties>
</file>