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4240" yWindow="240" windowWidth="42720" windowHeight="25040" tabRatio="500" activeTab="1"/>
  </bookViews>
  <sheets>
    <sheet name="Data and ratios" sheetId="1" r:id="rId1"/>
    <sheet name="Summary ratios" sheetId="2" r:id="rId2"/>
  </sheets>
  <definedNames>
    <definedName name="_xlnm.Print_Area" localSheetId="0">'Data and ratios'!$A$1:$DN$102</definedName>
    <definedName name="_xlnm.Print_Area" localSheetId="1">'Summary ratios'!$A$1:$DN$102</definedName>
    <definedName name="_xlnm.Print_Titles" localSheetId="0">'Data and ratios'!$A:$A</definedName>
    <definedName name="_xlnm.Print_Titles" localSheetId="1">'Summary ratios'!$A:$A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79" i="1" l="1"/>
  <c r="D69" i="1"/>
  <c r="D68" i="1"/>
  <c r="DI84" i="1"/>
  <c r="DI100" i="2"/>
  <c r="DI102" i="2"/>
  <c r="BC100" i="2"/>
  <c r="BC102" i="2"/>
  <c r="BA100" i="2"/>
  <c r="BA102" i="2"/>
  <c r="AS99" i="2"/>
  <c r="AS100" i="2"/>
  <c r="AS102" i="2"/>
  <c r="AQ100" i="2"/>
  <c r="AQ102" i="2"/>
  <c r="AO100" i="2"/>
  <c r="AO102" i="2"/>
  <c r="DI92" i="2"/>
  <c r="CN92" i="2"/>
  <c r="CL92" i="2"/>
  <c r="CE92" i="2"/>
  <c r="CC92" i="2"/>
  <c r="BU92" i="2"/>
  <c r="BK92" i="2"/>
  <c r="BI92" i="2"/>
  <c r="BC92" i="2"/>
  <c r="BA92" i="2"/>
  <c r="AS92" i="2"/>
  <c r="AQ92" i="2"/>
  <c r="AO92" i="2"/>
  <c r="AL92" i="2"/>
  <c r="AF92" i="2"/>
  <c r="X92" i="2"/>
  <c r="V92" i="2"/>
  <c r="T92" i="2"/>
  <c r="P92" i="2"/>
  <c r="DI91" i="2"/>
  <c r="DF91" i="2"/>
  <c r="DD91" i="2"/>
  <c r="DB91" i="2"/>
  <c r="CZ91" i="2"/>
  <c r="CX91" i="2"/>
  <c r="CV91" i="2"/>
  <c r="CT91" i="2"/>
  <c r="CR91" i="2"/>
  <c r="CP5" i="2"/>
  <c r="CP91" i="2"/>
  <c r="CN5" i="2"/>
  <c r="CN91" i="2"/>
  <c r="CJ91" i="2"/>
  <c r="CH91" i="2"/>
  <c r="CE91" i="2"/>
  <c r="CC91" i="2"/>
  <c r="BZ91" i="2"/>
  <c r="BW91" i="2"/>
  <c r="BU91" i="2"/>
  <c r="BR91" i="2"/>
  <c r="BP91" i="2"/>
  <c r="BN91" i="2"/>
  <c r="BK91" i="2"/>
  <c r="BI91" i="2"/>
  <c r="BF91" i="2"/>
  <c r="BC91" i="2"/>
  <c r="BA91" i="2"/>
  <c r="AY91" i="2"/>
  <c r="AW91" i="2"/>
  <c r="AU91" i="2"/>
  <c r="AS91" i="2"/>
  <c r="AQ91" i="2"/>
  <c r="AO91" i="2"/>
  <c r="AL91" i="2"/>
  <c r="AJ91" i="2"/>
  <c r="AH91" i="2"/>
  <c r="AF91" i="2"/>
  <c r="AC91" i="2"/>
  <c r="AA91" i="2"/>
  <c r="X91" i="2"/>
  <c r="V91" i="2"/>
  <c r="T91" i="2"/>
  <c r="R91" i="2"/>
  <c r="P91" i="2"/>
  <c r="N91" i="2"/>
  <c r="K91" i="2"/>
  <c r="I91" i="2"/>
  <c r="F91" i="2"/>
  <c r="D91" i="2"/>
  <c r="B91" i="2"/>
  <c r="DI90" i="2"/>
  <c r="DF90" i="2"/>
  <c r="DD90" i="2"/>
  <c r="DB90" i="2"/>
  <c r="CZ90" i="2"/>
  <c r="CX90" i="2"/>
  <c r="CV90" i="2"/>
  <c r="CT90" i="2"/>
  <c r="CR90" i="2"/>
  <c r="CP90" i="2"/>
  <c r="CN90" i="2"/>
  <c r="CJ90" i="2"/>
  <c r="CH90" i="2"/>
  <c r="CE27" i="2"/>
  <c r="CE90" i="2"/>
  <c r="CC27" i="2"/>
  <c r="CC90" i="2"/>
  <c r="BZ90" i="2"/>
  <c r="BW90" i="2"/>
  <c r="BU90" i="2"/>
  <c r="BR90" i="2"/>
  <c r="BP90" i="2"/>
  <c r="BN90" i="2"/>
  <c r="BK90" i="2"/>
  <c r="BI90" i="2"/>
  <c r="BF90" i="2"/>
  <c r="BC90" i="2"/>
  <c r="BA90" i="2"/>
  <c r="AY90" i="2"/>
  <c r="AW90" i="2"/>
  <c r="AU90" i="2"/>
  <c r="AS90" i="2"/>
  <c r="AQ90" i="2"/>
  <c r="AO90" i="2"/>
  <c r="AL90" i="2"/>
  <c r="AJ90" i="2"/>
  <c r="AH90" i="2"/>
  <c r="AF90" i="2"/>
  <c r="AC90" i="2"/>
  <c r="AA90" i="2"/>
  <c r="X90" i="2"/>
  <c r="V90" i="2"/>
  <c r="T90" i="2"/>
  <c r="R90" i="2"/>
  <c r="P90" i="2"/>
  <c r="N90" i="2"/>
  <c r="K90" i="2"/>
  <c r="I90" i="2"/>
  <c r="F90" i="2"/>
  <c r="D90" i="2"/>
  <c r="B90" i="2"/>
  <c r="DI42" i="2"/>
  <c r="DI30" i="2"/>
  <c r="DI33" i="2"/>
  <c r="DI43" i="2"/>
  <c r="DI89" i="2"/>
  <c r="DF42" i="2"/>
  <c r="DF33" i="2"/>
  <c r="DF43" i="2"/>
  <c r="DF89" i="2"/>
  <c r="DD42" i="2"/>
  <c r="DD33" i="2"/>
  <c r="DD43" i="2"/>
  <c r="DD89" i="2"/>
  <c r="DB42" i="2"/>
  <c r="DB33" i="2"/>
  <c r="DB43" i="2"/>
  <c r="DB89" i="2"/>
  <c r="CZ42" i="2"/>
  <c r="CZ33" i="2"/>
  <c r="CZ43" i="2"/>
  <c r="CZ89" i="2"/>
  <c r="CX42" i="2"/>
  <c r="CX33" i="2"/>
  <c r="CX43" i="2"/>
  <c r="CX89" i="2"/>
  <c r="CV42" i="2"/>
  <c r="CV33" i="2"/>
  <c r="CV43" i="2"/>
  <c r="CV89" i="2"/>
  <c r="CT42" i="2"/>
  <c r="CT33" i="2"/>
  <c r="CT43" i="2"/>
  <c r="CT89" i="2"/>
  <c r="CR42" i="2"/>
  <c r="CR33" i="2"/>
  <c r="CR43" i="2"/>
  <c r="CR89" i="2"/>
  <c r="CP42" i="2"/>
  <c r="CP30" i="2"/>
  <c r="CP32" i="2"/>
  <c r="CP33" i="2"/>
  <c r="CP43" i="2"/>
  <c r="CP89" i="2"/>
  <c r="CN42" i="2"/>
  <c r="CN28" i="2"/>
  <c r="CN32" i="2"/>
  <c r="CN33" i="2"/>
  <c r="CN43" i="2"/>
  <c r="CN89" i="2"/>
  <c r="CJ42" i="2"/>
  <c r="CJ33" i="2"/>
  <c r="CJ43" i="2"/>
  <c r="CJ89" i="2"/>
  <c r="CH38" i="2"/>
  <c r="CH42" i="2"/>
  <c r="CH29" i="2"/>
  <c r="CH30" i="2"/>
  <c r="CH32" i="2"/>
  <c r="CH33" i="2"/>
  <c r="CH43" i="2"/>
  <c r="CH89" i="2"/>
  <c r="CE38" i="2"/>
  <c r="CE42" i="2"/>
  <c r="CE33" i="2"/>
  <c r="CE43" i="2"/>
  <c r="CE89" i="2"/>
  <c r="CC38" i="2"/>
  <c r="CC42" i="2"/>
  <c r="CC33" i="2"/>
  <c r="CC43" i="2"/>
  <c r="CC89" i="2"/>
  <c r="BZ42" i="2"/>
  <c r="BZ33" i="2"/>
  <c r="BZ43" i="2"/>
  <c r="BZ89" i="2"/>
  <c r="BW38" i="2"/>
  <c r="BW42" i="2"/>
  <c r="BW30" i="2"/>
  <c r="BW32" i="2"/>
  <c r="BW33" i="2"/>
  <c r="BW43" i="2"/>
  <c r="BW89" i="2"/>
  <c r="BU38" i="2"/>
  <c r="BU42" i="2"/>
  <c r="BU30" i="2"/>
  <c r="BU32" i="2"/>
  <c r="BU33" i="2"/>
  <c r="BU43" i="2"/>
  <c r="BU89" i="2"/>
  <c r="BR42" i="2"/>
  <c r="BR33" i="2"/>
  <c r="BR43" i="2"/>
  <c r="BR89" i="2"/>
  <c r="BP42" i="2"/>
  <c r="BP33" i="2"/>
  <c r="BP43" i="2"/>
  <c r="BP89" i="2"/>
  <c r="BN42" i="2"/>
  <c r="BN33" i="2"/>
  <c r="BN43" i="2"/>
  <c r="BN89" i="2"/>
  <c r="BK38" i="2"/>
  <c r="BK42" i="2"/>
  <c r="BK33" i="2"/>
  <c r="BK43" i="2"/>
  <c r="BK89" i="2"/>
  <c r="BI38" i="2"/>
  <c r="BI42" i="2"/>
  <c r="BI33" i="2"/>
  <c r="BI43" i="2"/>
  <c r="BI89" i="2"/>
  <c r="BF42" i="2"/>
  <c r="BF33" i="2"/>
  <c r="BF43" i="2"/>
  <c r="BF89" i="2"/>
  <c r="BC38" i="2"/>
  <c r="BC42" i="2"/>
  <c r="BC29" i="2"/>
  <c r="BC33" i="2"/>
  <c r="BC43" i="2"/>
  <c r="BC89" i="2"/>
  <c r="BA38" i="2"/>
  <c r="BA42" i="2"/>
  <c r="BA32" i="2"/>
  <c r="BA33" i="2"/>
  <c r="BA43" i="2"/>
  <c r="BA89" i="2"/>
  <c r="AY42" i="2"/>
  <c r="AY33" i="2"/>
  <c r="AY43" i="2"/>
  <c r="AY89" i="2"/>
  <c r="AW42" i="2"/>
  <c r="AW33" i="2"/>
  <c r="AW43" i="2"/>
  <c r="AW89" i="2"/>
  <c r="AU42" i="2"/>
  <c r="AU33" i="2"/>
  <c r="AU43" i="2"/>
  <c r="AU89" i="2"/>
  <c r="AS38" i="2"/>
  <c r="AS42" i="2"/>
  <c r="AS29" i="2"/>
  <c r="AS30" i="2"/>
  <c r="AS32" i="2"/>
  <c r="AS33" i="2"/>
  <c r="AS43" i="2"/>
  <c r="AS89" i="2"/>
  <c r="AQ38" i="2"/>
  <c r="AQ42" i="2"/>
  <c r="AQ29" i="2"/>
  <c r="AQ30" i="2"/>
  <c r="AQ33" i="2"/>
  <c r="AQ43" i="2"/>
  <c r="AQ89" i="2"/>
  <c r="AO42" i="2"/>
  <c r="AO32" i="2"/>
  <c r="AO33" i="2"/>
  <c r="AO43" i="2"/>
  <c r="AO89" i="2"/>
  <c r="AL42" i="2"/>
  <c r="AL33" i="2"/>
  <c r="AL43" i="2"/>
  <c r="AL89" i="2"/>
  <c r="AJ42" i="2"/>
  <c r="AJ33" i="2"/>
  <c r="AJ43" i="2"/>
  <c r="AJ89" i="2"/>
  <c r="AH42" i="2"/>
  <c r="AH33" i="2"/>
  <c r="AH43" i="2"/>
  <c r="AH89" i="2"/>
  <c r="AF38" i="2"/>
  <c r="AF42" i="2"/>
  <c r="AF29" i="2"/>
  <c r="AF30" i="2"/>
  <c r="AF33" i="2"/>
  <c r="AF43" i="2"/>
  <c r="AF89" i="2"/>
  <c r="AC42" i="2"/>
  <c r="AC33" i="2"/>
  <c r="AC43" i="2"/>
  <c r="AC89" i="2"/>
  <c r="AA42" i="2"/>
  <c r="AA33" i="2"/>
  <c r="AA43" i="2"/>
  <c r="AA89" i="2"/>
  <c r="X38" i="2"/>
  <c r="X42" i="2"/>
  <c r="X33" i="2"/>
  <c r="X43" i="2"/>
  <c r="X89" i="2"/>
  <c r="V38" i="2"/>
  <c r="V42" i="2"/>
  <c r="V30" i="2"/>
  <c r="V33" i="2"/>
  <c r="V43" i="2"/>
  <c r="V89" i="2"/>
  <c r="T42" i="2"/>
  <c r="T32" i="2"/>
  <c r="T33" i="2"/>
  <c r="T43" i="2"/>
  <c r="T89" i="2"/>
  <c r="R38" i="2"/>
  <c r="R42" i="2"/>
  <c r="R29" i="2"/>
  <c r="R33" i="2"/>
  <c r="R43" i="2"/>
  <c r="R89" i="2"/>
  <c r="P42" i="2"/>
  <c r="P33" i="2"/>
  <c r="P43" i="2"/>
  <c r="P89" i="2"/>
  <c r="N38" i="2"/>
  <c r="N42" i="2"/>
  <c r="N32" i="2"/>
  <c r="N33" i="2"/>
  <c r="N43" i="2"/>
  <c r="N89" i="2"/>
  <c r="K42" i="2"/>
  <c r="K33" i="2"/>
  <c r="K43" i="2"/>
  <c r="K89" i="2"/>
  <c r="I38" i="2"/>
  <c r="I42" i="2"/>
  <c r="I32" i="2"/>
  <c r="I33" i="2"/>
  <c r="I43" i="2"/>
  <c r="I89" i="2"/>
  <c r="F38" i="2"/>
  <c r="F42" i="2"/>
  <c r="F32" i="2"/>
  <c r="F33" i="2"/>
  <c r="F43" i="2"/>
  <c r="F89" i="2"/>
  <c r="D38" i="2"/>
  <c r="D42" i="2"/>
  <c r="D33" i="2"/>
  <c r="D43" i="2"/>
  <c r="D89" i="2"/>
  <c r="B42" i="2"/>
  <c r="B33" i="2"/>
  <c r="B43" i="2"/>
  <c r="B89" i="2"/>
  <c r="DI7" i="2"/>
  <c r="DI8" i="2"/>
  <c r="DI9" i="2"/>
  <c r="DI10" i="2"/>
  <c r="DI14" i="2"/>
  <c r="DI15" i="2"/>
  <c r="DI16" i="2"/>
  <c r="DI17" i="2"/>
  <c r="DI18" i="2"/>
  <c r="DI88" i="2"/>
  <c r="DF7" i="2"/>
  <c r="DF9" i="2"/>
  <c r="DF15" i="2"/>
  <c r="DF18" i="2"/>
  <c r="DF88" i="2"/>
  <c r="DD7" i="2"/>
  <c r="DD9" i="2"/>
  <c r="DD15" i="2"/>
  <c r="DD18" i="2"/>
  <c r="DD88" i="2"/>
  <c r="DB7" i="2"/>
  <c r="DB9" i="2"/>
  <c r="DB15" i="2"/>
  <c r="DB18" i="2"/>
  <c r="DB88" i="2"/>
  <c r="CZ7" i="2"/>
  <c r="CZ9" i="2"/>
  <c r="CZ15" i="2"/>
  <c r="CZ18" i="2"/>
  <c r="CZ88" i="2"/>
  <c r="CX7" i="2"/>
  <c r="CX9" i="2"/>
  <c r="CX15" i="2"/>
  <c r="CX18" i="2"/>
  <c r="CX88" i="2"/>
  <c r="CV7" i="2"/>
  <c r="CV9" i="2"/>
  <c r="CV15" i="2"/>
  <c r="CV18" i="2"/>
  <c r="CV88" i="2"/>
  <c r="CT7" i="2"/>
  <c r="CT9" i="2"/>
  <c r="CT15" i="2"/>
  <c r="CT18" i="2"/>
  <c r="CT88" i="2"/>
  <c r="CR7" i="2"/>
  <c r="CR9" i="2"/>
  <c r="CR15" i="2"/>
  <c r="CR18" i="2"/>
  <c r="CR88" i="2"/>
  <c r="CP6" i="2"/>
  <c r="CP7" i="2"/>
  <c r="CP8" i="2"/>
  <c r="CP9" i="2"/>
  <c r="CP10" i="2"/>
  <c r="CP15" i="2"/>
  <c r="CP18" i="2"/>
  <c r="CP88" i="2"/>
  <c r="CN6" i="2"/>
  <c r="CN7" i="2"/>
  <c r="CN8" i="2"/>
  <c r="CN9" i="2"/>
  <c r="CN10" i="2"/>
  <c r="CN14" i="2"/>
  <c r="CN15" i="2"/>
  <c r="CN17" i="2"/>
  <c r="CN18" i="2"/>
  <c r="CN88" i="2"/>
  <c r="CL7" i="2"/>
  <c r="CL9" i="2"/>
  <c r="CL12" i="2"/>
  <c r="CL14" i="2"/>
  <c r="CL15" i="2"/>
  <c r="CL18" i="2"/>
  <c r="CL88" i="2"/>
  <c r="CJ7" i="2"/>
  <c r="CJ9" i="2"/>
  <c r="CJ15" i="2"/>
  <c r="CJ18" i="2"/>
  <c r="CJ88" i="2"/>
  <c r="CH7" i="2"/>
  <c r="CH9" i="2"/>
  <c r="CH12" i="2"/>
  <c r="CH14" i="2"/>
  <c r="CH15" i="2"/>
  <c r="CH16" i="2"/>
  <c r="CH18" i="2"/>
  <c r="CH88" i="2"/>
  <c r="CE7" i="2"/>
  <c r="CE9" i="2"/>
  <c r="CE12" i="2"/>
  <c r="CE15" i="2"/>
  <c r="CE16" i="2"/>
  <c r="CE18" i="2"/>
  <c r="CE88" i="2"/>
  <c r="CC7" i="2"/>
  <c r="CC9" i="2"/>
  <c r="CC15" i="2"/>
  <c r="CC18" i="2"/>
  <c r="CC88" i="2"/>
  <c r="BZ7" i="2"/>
  <c r="BZ9" i="2"/>
  <c r="BZ15" i="2"/>
  <c r="BZ18" i="2"/>
  <c r="BZ88" i="2"/>
  <c r="BW7" i="2"/>
  <c r="BW9" i="2"/>
  <c r="BW15" i="2"/>
  <c r="BW17" i="2"/>
  <c r="BW18" i="2"/>
  <c r="BW88" i="2"/>
  <c r="BU7" i="2"/>
  <c r="BU9" i="2"/>
  <c r="BU12" i="2"/>
  <c r="BU14" i="2"/>
  <c r="BU15" i="2"/>
  <c r="BU16" i="2"/>
  <c r="BU18" i="2"/>
  <c r="BU88" i="2"/>
  <c r="BR7" i="2"/>
  <c r="BR9" i="2"/>
  <c r="BR15" i="2"/>
  <c r="BR18" i="2"/>
  <c r="BR88" i="2"/>
  <c r="BP7" i="2"/>
  <c r="BP9" i="2"/>
  <c r="BP15" i="2"/>
  <c r="BP18" i="2"/>
  <c r="BP88" i="2"/>
  <c r="BN7" i="2"/>
  <c r="BN9" i="2"/>
  <c r="BN15" i="2"/>
  <c r="BN16" i="2"/>
  <c r="BN18" i="2"/>
  <c r="BN88" i="2"/>
  <c r="BK7" i="2"/>
  <c r="BK9" i="2"/>
  <c r="BK12" i="2"/>
  <c r="BK15" i="2"/>
  <c r="BK16" i="2"/>
  <c r="BK18" i="2"/>
  <c r="BK88" i="2"/>
  <c r="BI7" i="2"/>
  <c r="BI9" i="2"/>
  <c r="BI12" i="2"/>
  <c r="BI15" i="2"/>
  <c r="BI16" i="2"/>
  <c r="BI18" i="2"/>
  <c r="BI88" i="2"/>
  <c r="BF9" i="2"/>
  <c r="BF15" i="2"/>
  <c r="BF18" i="2"/>
  <c r="BF88" i="2"/>
  <c r="BC7" i="2"/>
  <c r="BC8" i="2"/>
  <c r="BC9" i="2"/>
  <c r="BC10" i="2"/>
  <c r="BC14" i="2"/>
  <c r="BC15" i="2"/>
  <c r="BC16" i="2"/>
  <c r="BC18" i="2"/>
  <c r="BC88" i="2"/>
  <c r="BA7" i="2"/>
  <c r="BA8" i="2"/>
  <c r="BA9" i="2"/>
  <c r="BA10" i="2"/>
  <c r="BA15" i="2"/>
  <c r="BA16" i="2"/>
  <c r="BA18" i="2"/>
  <c r="BA88" i="2"/>
  <c r="AY7" i="2"/>
  <c r="AY9" i="2"/>
  <c r="AY15" i="2"/>
  <c r="AY18" i="2"/>
  <c r="AY88" i="2"/>
  <c r="AW7" i="2"/>
  <c r="AW9" i="2"/>
  <c r="AW15" i="2"/>
  <c r="AW18" i="2"/>
  <c r="AW88" i="2"/>
  <c r="AU7" i="2"/>
  <c r="AU9" i="2"/>
  <c r="AU15" i="2"/>
  <c r="AU18" i="2"/>
  <c r="AU88" i="2"/>
  <c r="AS7" i="2"/>
  <c r="AS8" i="2"/>
  <c r="AS9" i="2"/>
  <c r="AS10" i="2"/>
  <c r="AS15" i="2"/>
  <c r="AS16" i="2"/>
  <c r="AS17" i="2"/>
  <c r="AS18" i="2"/>
  <c r="AS88" i="2"/>
  <c r="AQ7" i="2"/>
  <c r="AQ8" i="2"/>
  <c r="AQ9" i="2"/>
  <c r="AQ10" i="2"/>
  <c r="AQ13" i="2"/>
  <c r="AQ14" i="2"/>
  <c r="AQ15" i="2"/>
  <c r="AQ16" i="2"/>
  <c r="AQ17" i="2"/>
  <c r="AQ18" i="2"/>
  <c r="AQ88" i="2"/>
  <c r="AO7" i="2"/>
  <c r="AO8" i="2"/>
  <c r="AO9" i="2"/>
  <c r="AO10" i="2"/>
  <c r="AO15" i="2"/>
  <c r="AO18" i="2"/>
  <c r="AO88" i="2"/>
  <c r="AL7" i="2"/>
  <c r="AL10" i="2"/>
  <c r="AL15" i="2"/>
  <c r="AL16" i="2"/>
  <c r="AL18" i="2"/>
  <c r="AL88" i="2"/>
  <c r="AJ7" i="2"/>
  <c r="AJ9" i="2"/>
  <c r="AJ15" i="2"/>
  <c r="AJ18" i="2"/>
  <c r="AJ88" i="2"/>
  <c r="AH9" i="2"/>
  <c r="AH15" i="2"/>
  <c r="AH18" i="2"/>
  <c r="AH88" i="2"/>
  <c r="AF7" i="2"/>
  <c r="AF9" i="2"/>
  <c r="AF12" i="2"/>
  <c r="AF14" i="2"/>
  <c r="AF15" i="2"/>
  <c r="AF16" i="2"/>
  <c r="AF18" i="2"/>
  <c r="AF88" i="2"/>
  <c r="AC7" i="2"/>
  <c r="AC9" i="2"/>
  <c r="AC15" i="2"/>
  <c r="AC18" i="2"/>
  <c r="AC88" i="2"/>
  <c r="AA7" i="2"/>
  <c r="AA9" i="2"/>
  <c r="AA15" i="2"/>
  <c r="AA18" i="2"/>
  <c r="AA88" i="2"/>
  <c r="X7" i="2"/>
  <c r="X9" i="2"/>
  <c r="X12" i="2"/>
  <c r="X15" i="2"/>
  <c r="X16" i="2"/>
  <c r="X18" i="2"/>
  <c r="X88" i="2"/>
  <c r="V7" i="2"/>
  <c r="V9" i="2"/>
  <c r="V12" i="2"/>
  <c r="V15" i="2"/>
  <c r="V16" i="2"/>
  <c r="V18" i="2"/>
  <c r="V88" i="2"/>
  <c r="T7" i="2"/>
  <c r="T9" i="2"/>
  <c r="T12" i="2"/>
  <c r="T14" i="2"/>
  <c r="T15" i="2"/>
  <c r="T16" i="2"/>
  <c r="T18" i="2"/>
  <c r="T88" i="2"/>
  <c r="R7" i="2"/>
  <c r="R9" i="2"/>
  <c r="R15" i="2"/>
  <c r="R16" i="2"/>
  <c r="R17" i="2"/>
  <c r="R18" i="2"/>
  <c r="R88" i="2"/>
  <c r="P7" i="2"/>
  <c r="P9" i="2"/>
  <c r="P13" i="2"/>
  <c r="P14" i="2"/>
  <c r="P15" i="2"/>
  <c r="P16" i="2"/>
  <c r="P18" i="2"/>
  <c r="P88" i="2"/>
  <c r="N7" i="2"/>
  <c r="N9" i="2"/>
  <c r="N12" i="2"/>
  <c r="N15" i="2"/>
  <c r="N16" i="2"/>
  <c r="N18" i="2"/>
  <c r="N88" i="2"/>
  <c r="K9" i="2"/>
  <c r="K15" i="2"/>
  <c r="K18" i="2"/>
  <c r="K88" i="2"/>
  <c r="I7" i="2"/>
  <c r="I9" i="2"/>
  <c r="I12" i="2"/>
  <c r="I15" i="2"/>
  <c r="I18" i="2"/>
  <c r="I88" i="2"/>
  <c r="F7" i="2"/>
  <c r="F9" i="2"/>
  <c r="F15" i="2"/>
  <c r="F18" i="2"/>
  <c r="F88" i="2"/>
  <c r="D7" i="2"/>
  <c r="D9" i="2"/>
  <c r="D14" i="2"/>
  <c r="D15" i="2"/>
  <c r="D16" i="2"/>
  <c r="D18" i="2"/>
  <c r="D88" i="2"/>
  <c r="B7" i="2"/>
  <c r="B9" i="2"/>
  <c r="B15" i="2"/>
  <c r="B18" i="2"/>
  <c r="B88" i="2"/>
  <c r="DI86" i="2"/>
  <c r="DF86" i="2"/>
  <c r="DD86" i="2"/>
  <c r="DB86" i="2"/>
  <c r="CZ86" i="2"/>
  <c r="CX86" i="2"/>
  <c r="CV86" i="2"/>
  <c r="CT86" i="2"/>
  <c r="CR86" i="2"/>
  <c r="CL86" i="2"/>
  <c r="CJ86" i="2"/>
  <c r="CH86" i="2"/>
  <c r="CE86" i="2"/>
  <c r="CC86" i="2"/>
  <c r="BZ86" i="2"/>
  <c r="BW86" i="2"/>
  <c r="BU86" i="2"/>
  <c r="BR86" i="2"/>
  <c r="BP86" i="2"/>
  <c r="BN86" i="2"/>
  <c r="BK86" i="2"/>
  <c r="BI86" i="2"/>
  <c r="BC86" i="2"/>
  <c r="BA86" i="2"/>
  <c r="AY86" i="2"/>
  <c r="AW86" i="2"/>
  <c r="AU86" i="2"/>
  <c r="AQ86" i="2"/>
  <c r="AO86" i="2"/>
  <c r="AL86" i="2"/>
  <c r="AJ86" i="2"/>
  <c r="AF86" i="2"/>
  <c r="AC86" i="2"/>
  <c r="AA86" i="2"/>
  <c r="X86" i="2"/>
  <c r="V86" i="2"/>
  <c r="T86" i="2"/>
  <c r="R86" i="2"/>
  <c r="P86" i="2"/>
  <c r="N86" i="2"/>
  <c r="I86" i="2"/>
  <c r="F86" i="2"/>
  <c r="D86" i="2"/>
  <c r="B86" i="2"/>
  <c r="DI85" i="2"/>
  <c r="DF85" i="2"/>
  <c r="DD85" i="2"/>
  <c r="DB85" i="2"/>
  <c r="CZ85" i="2"/>
  <c r="CX85" i="2"/>
  <c r="CV85" i="2"/>
  <c r="CT85" i="2"/>
  <c r="CR85" i="2"/>
  <c r="CP85" i="2"/>
  <c r="CN85" i="2"/>
  <c r="CJ85" i="2"/>
  <c r="CH85" i="2"/>
  <c r="CE85" i="2"/>
  <c r="CC85" i="2"/>
  <c r="BZ85" i="2"/>
  <c r="BW85" i="2"/>
  <c r="BU85" i="2"/>
  <c r="BR85" i="2"/>
  <c r="BP85" i="2"/>
  <c r="BN85" i="2"/>
  <c r="BK85" i="2"/>
  <c r="BI85" i="2"/>
  <c r="BF85" i="2"/>
  <c r="BC85" i="2"/>
  <c r="BA85" i="2"/>
  <c r="AY85" i="2"/>
  <c r="AW85" i="2"/>
  <c r="AU85" i="2"/>
  <c r="AS85" i="2"/>
  <c r="AQ85" i="2"/>
  <c r="AO85" i="2"/>
  <c r="AL85" i="2"/>
  <c r="AJ85" i="2"/>
  <c r="AH85" i="2"/>
  <c r="AF85" i="2"/>
  <c r="AC85" i="2"/>
  <c r="AA85" i="2"/>
  <c r="X85" i="2"/>
  <c r="V85" i="2"/>
  <c r="T85" i="2"/>
  <c r="R85" i="2"/>
  <c r="P85" i="2"/>
  <c r="N85" i="2"/>
  <c r="K85" i="2"/>
  <c r="I85" i="2"/>
  <c r="F85" i="2"/>
  <c r="D85" i="2"/>
  <c r="B85" i="2"/>
  <c r="DM84" i="2"/>
  <c r="DK84" i="2"/>
  <c r="DF84" i="2"/>
  <c r="DD84" i="2"/>
  <c r="DB84" i="2"/>
  <c r="CZ84" i="2"/>
  <c r="CX84" i="2"/>
  <c r="CV84" i="2"/>
  <c r="CT84" i="2"/>
  <c r="CR84" i="2"/>
  <c r="CP84" i="2"/>
  <c r="CN84" i="2"/>
  <c r="CL84" i="2"/>
  <c r="CJ84" i="2"/>
  <c r="CH84" i="2"/>
  <c r="CE84" i="2"/>
  <c r="CC84" i="2"/>
  <c r="BZ84" i="2"/>
  <c r="BW84" i="2"/>
  <c r="BU84" i="2"/>
  <c r="BR84" i="2"/>
  <c r="BP84" i="2"/>
  <c r="BN84" i="2"/>
  <c r="BK84" i="2"/>
  <c r="BI84" i="2"/>
  <c r="BC84" i="2"/>
  <c r="AY84" i="2"/>
  <c r="AW84" i="2"/>
  <c r="AU84" i="2"/>
  <c r="AS84" i="2"/>
  <c r="AQ84" i="2"/>
  <c r="AO84" i="2"/>
  <c r="AL84" i="2"/>
  <c r="AJ84" i="2"/>
  <c r="AF84" i="2"/>
  <c r="AC84" i="2"/>
  <c r="AA84" i="2"/>
  <c r="X84" i="2"/>
  <c r="V84" i="2"/>
  <c r="T84" i="2"/>
  <c r="R84" i="2"/>
  <c r="P84" i="2"/>
  <c r="N84" i="2"/>
  <c r="I84" i="2"/>
  <c r="F84" i="2"/>
  <c r="D84" i="2"/>
  <c r="B84" i="2"/>
  <c r="DM83" i="2"/>
  <c r="DK83" i="2"/>
  <c r="DI83" i="2"/>
  <c r="DF83" i="2"/>
  <c r="DD83" i="2"/>
  <c r="DB83" i="2"/>
  <c r="CZ83" i="2"/>
  <c r="CX83" i="2"/>
  <c r="CV83" i="2"/>
  <c r="CT83" i="2"/>
  <c r="CR83" i="2"/>
  <c r="CP83" i="2"/>
  <c r="CN83" i="2"/>
  <c r="CL83" i="2"/>
  <c r="CJ83" i="2"/>
  <c r="CH83" i="2"/>
  <c r="CE83" i="2"/>
  <c r="CC83" i="2"/>
  <c r="BZ83" i="2"/>
  <c r="BW83" i="2"/>
  <c r="BU83" i="2"/>
  <c r="BR83" i="2"/>
  <c r="BP83" i="2"/>
  <c r="BN83" i="2"/>
  <c r="BK83" i="2"/>
  <c r="BI83" i="2"/>
  <c r="BC83" i="2"/>
  <c r="BA83" i="2"/>
  <c r="AY83" i="2"/>
  <c r="AW83" i="2"/>
  <c r="AU83" i="2"/>
  <c r="AS83" i="2"/>
  <c r="AQ83" i="2"/>
  <c r="AO83" i="2"/>
  <c r="AL83" i="2"/>
  <c r="AJ83" i="2"/>
  <c r="AF83" i="2"/>
  <c r="AC83" i="2"/>
  <c r="AA83" i="2"/>
  <c r="X83" i="2"/>
  <c r="V83" i="2"/>
  <c r="T83" i="2"/>
  <c r="R83" i="2"/>
  <c r="P83" i="2"/>
  <c r="N83" i="2"/>
  <c r="I83" i="2"/>
  <c r="F83" i="2"/>
  <c r="D83" i="2"/>
  <c r="B83" i="2"/>
  <c r="DM82" i="2"/>
  <c r="DK82" i="2"/>
  <c r="DI82" i="2"/>
  <c r="DF82" i="2"/>
  <c r="DD82" i="2"/>
  <c r="DB82" i="2"/>
  <c r="CZ82" i="2"/>
  <c r="CX82" i="2"/>
  <c r="CV82" i="2"/>
  <c r="CT82" i="2"/>
  <c r="CR82" i="2"/>
  <c r="CP82" i="2"/>
  <c r="CN82" i="2"/>
  <c r="CL82" i="2"/>
  <c r="CJ82" i="2"/>
  <c r="CH82" i="2"/>
  <c r="CE82" i="2"/>
  <c r="CC82" i="2"/>
  <c r="BZ82" i="2"/>
  <c r="BW82" i="2"/>
  <c r="BU82" i="2"/>
  <c r="BR82" i="2"/>
  <c r="BP82" i="2"/>
  <c r="BN82" i="2"/>
  <c r="BK82" i="2"/>
  <c r="BI82" i="2"/>
  <c r="BC82" i="2"/>
  <c r="BA82" i="2"/>
  <c r="AY82" i="2"/>
  <c r="AW82" i="2"/>
  <c r="AU82" i="2"/>
  <c r="AQ82" i="2"/>
  <c r="AO82" i="2"/>
  <c r="AL82" i="2"/>
  <c r="AJ82" i="2"/>
  <c r="AF82" i="2"/>
  <c r="AC82" i="2"/>
  <c r="AA82" i="2"/>
  <c r="X82" i="2"/>
  <c r="V82" i="2"/>
  <c r="T82" i="2"/>
  <c r="R82" i="2"/>
  <c r="P82" i="2"/>
  <c r="N82" i="2"/>
  <c r="I82" i="2"/>
  <c r="F82" i="2"/>
  <c r="D82" i="2"/>
  <c r="B82" i="2"/>
  <c r="DU79" i="2"/>
  <c r="DR79" i="2"/>
  <c r="DP79" i="2"/>
  <c r="DM79" i="2"/>
  <c r="DK79" i="2"/>
  <c r="DI79" i="2"/>
  <c r="DF79" i="2"/>
  <c r="DD79" i="2"/>
  <c r="DB79" i="2"/>
  <c r="CZ79" i="2"/>
  <c r="CX79" i="2"/>
  <c r="CV79" i="2"/>
  <c r="CT79" i="2"/>
  <c r="CR79" i="2"/>
  <c r="CP79" i="2"/>
  <c r="CN79" i="2"/>
  <c r="CJ79" i="2"/>
  <c r="CH79" i="2"/>
  <c r="CE79" i="2"/>
  <c r="CC79" i="2"/>
  <c r="BZ79" i="2"/>
  <c r="BW79" i="2"/>
  <c r="BU79" i="2"/>
  <c r="BR79" i="2"/>
  <c r="BP79" i="2"/>
  <c r="BN79" i="2"/>
  <c r="BK79" i="2"/>
  <c r="BI79" i="2"/>
  <c r="BC79" i="2"/>
  <c r="BA79" i="2"/>
  <c r="AY79" i="2"/>
  <c r="AW79" i="2"/>
  <c r="AU79" i="2"/>
  <c r="AQ79" i="2"/>
  <c r="AO79" i="2"/>
  <c r="AJ79" i="2"/>
  <c r="AF79" i="2"/>
  <c r="AC79" i="2"/>
  <c r="AA79" i="2"/>
  <c r="X79" i="2"/>
  <c r="V79" i="2"/>
  <c r="T79" i="2"/>
  <c r="R79" i="2"/>
  <c r="P79" i="2"/>
  <c r="N79" i="2"/>
  <c r="I79" i="2"/>
  <c r="F79" i="2"/>
  <c r="D79" i="2"/>
  <c r="B79" i="2"/>
  <c r="DI78" i="2"/>
  <c r="DF78" i="2"/>
  <c r="DD78" i="2"/>
  <c r="DB78" i="2"/>
  <c r="CZ78" i="2"/>
  <c r="CX78" i="2"/>
  <c r="CV78" i="2"/>
  <c r="CT78" i="2"/>
  <c r="CR78" i="2"/>
  <c r="CP78" i="2"/>
  <c r="CN78" i="2"/>
  <c r="CJ78" i="2"/>
  <c r="CH78" i="2"/>
  <c r="CE78" i="2"/>
  <c r="CC78" i="2"/>
  <c r="BZ78" i="2"/>
  <c r="BW78" i="2"/>
  <c r="BU78" i="2"/>
  <c r="BR78" i="2"/>
  <c r="BP78" i="2"/>
  <c r="BN78" i="2"/>
  <c r="BK78" i="2"/>
  <c r="BI78" i="2"/>
  <c r="BF78" i="2"/>
  <c r="BC78" i="2"/>
  <c r="BA78" i="2"/>
  <c r="AY78" i="2"/>
  <c r="AW78" i="2"/>
  <c r="AU78" i="2"/>
  <c r="AQ78" i="2"/>
  <c r="AO78" i="2"/>
  <c r="AL78" i="2"/>
  <c r="AJ78" i="2"/>
  <c r="AH78" i="2"/>
  <c r="AF78" i="2"/>
  <c r="AC78" i="2"/>
  <c r="AA78" i="2"/>
  <c r="X78" i="2"/>
  <c r="V78" i="2"/>
  <c r="T78" i="2"/>
  <c r="R78" i="2"/>
  <c r="P78" i="2"/>
  <c r="N78" i="2"/>
  <c r="K78" i="2"/>
  <c r="I78" i="2"/>
  <c r="F78" i="2"/>
  <c r="D78" i="2"/>
  <c r="B78" i="2"/>
  <c r="DI77" i="2"/>
  <c r="DF77" i="2"/>
  <c r="DD77" i="2"/>
  <c r="DB77" i="2"/>
  <c r="CZ77" i="2"/>
  <c r="CX77" i="2"/>
  <c r="CV77" i="2"/>
  <c r="CT77" i="2"/>
  <c r="CR77" i="2"/>
  <c r="CJ77" i="2"/>
  <c r="CH77" i="2"/>
  <c r="CE77" i="2"/>
  <c r="CC77" i="2"/>
  <c r="BZ77" i="2"/>
  <c r="BW77" i="2"/>
  <c r="BU77" i="2"/>
  <c r="BR77" i="2"/>
  <c r="BP77" i="2"/>
  <c r="BN77" i="2"/>
  <c r="BK77" i="2"/>
  <c r="BI77" i="2"/>
  <c r="BF77" i="2"/>
  <c r="BC77" i="2"/>
  <c r="BA77" i="2"/>
  <c r="AY77" i="2"/>
  <c r="AW77" i="2"/>
  <c r="AU77" i="2"/>
  <c r="AQ77" i="2"/>
  <c r="AO77" i="2"/>
  <c r="AL77" i="2"/>
  <c r="AJ77" i="2"/>
  <c r="AH77" i="2"/>
  <c r="AF77" i="2"/>
  <c r="AC77" i="2"/>
  <c r="AA77" i="2"/>
  <c r="X77" i="2"/>
  <c r="V77" i="2"/>
  <c r="T77" i="2"/>
  <c r="R77" i="2"/>
  <c r="P77" i="2"/>
  <c r="N77" i="2"/>
  <c r="K77" i="2"/>
  <c r="I77" i="2"/>
  <c r="F77" i="2"/>
  <c r="D77" i="2"/>
  <c r="B77" i="2"/>
  <c r="DI76" i="2"/>
  <c r="CP76" i="2"/>
  <c r="CN76" i="2"/>
  <c r="CL76" i="2"/>
  <c r="CH76" i="2"/>
  <c r="CE76" i="2"/>
  <c r="CC76" i="2"/>
  <c r="BW76" i="2"/>
  <c r="BU76" i="2"/>
  <c r="BK76" i="2"/>
  <c r="BI76" i="2"/>
  <c r="BC76" i="2"/>
  <c r="BA76" i="2"/>
  <c r="AQ76" i="2"/>
  <c r="AO76" i="2"/>
  <c r="AF76" i="2"/>
  <c r="T76" i="2"/>
  <c r="I76" i="2"/>
  <c r="F76" i="2"/>
  <c r="D76" i="2"/>
  <c r="B76" i="2"/>
  <c r="DI75" i="2"/>
  <c r="DF75" i="2"/>
  <c r="DD75" i="2"/>
  <c r="DB75" i="2"/>
  <c r="CZ75" i="2"/>
  <c r="CX75" i="2"/>
  <c r="CV75" i="2"/>
  <c r="CT75" i="2"/>
  <c r="CR75" i="2"/>
  <c r="CP75" i="2"/>
  <c r="CN75" i="2"/>
  <c r="CJ75" i="2"/>
  <c r="CH75" i="2"/>
  <c r="CE75" i="2"/>
  <c r="CC75" i="2"/>
  <c r="BZ75" i="2"/>
  <c r="BW75" i="2"/>
  <c r="BU75" i="2"/>
  <c r="BR75" i="2"/>
  <c r="BP75" i="2"/>
  <c r="BN75" i="2"/>
  <c r="BK75" i="2"/>
  <c r="BI75" i="2"/>
  <c r="BF75" i="2"/>
  <c r="BC75" i="2"/>
  <c r="BA75" i="2"/>
  <c r="AY75" i="2"/>
  <c r="AW75" i="2"/>
  <c r="AU75" i="2"/>
  <c r="AQ75" i="2"/>
  <c r="AO75" i="2"/>
  <c r="AL75" i="2"/>
  <c r="AJ75" i="2"/>
  <c r="AH75" i="2"/>
  <c r="AF75" i="2"/>
  <c r="AC75" i="2"/>
  <c r="AA75" i="2"/>
  <c r="X75" i="2"/>
  <c r="V75" i="2"/>
  <c r="T75" i="2"/>
  <c r="R75" i="2"/>
  <c r="P75" i="2"/>
  <c r="N75" i="2"/>
  <c r="K75" i="2"/>
  <c r="I75" i="2"/>
  <c r="F75" i="2"/>
  <c r="D75" i="2"/>
  <c r="B75" i="2"/>
  <c r="DI53" i="2"/>
  <c r="DI73" i="2"/>
  <c r="DF53" i="2"/>
  <c r="DF73" i="2"/>
  <c r="DD53" i="2"/>
  <c r="DD73" i="2"/>
  <c r="DB53" i="2"/>
  <c r="DB73" i="2"/>
  <c r="CZ53" i="2"/>
  <c r="CZ73" i="2"/>
  <c r="CX53" i="2"/>
  <c r="CX73" i="2"/>
  <c r="CV53" i="2"/>
  <c r="CV73" i="2"/>
  <c r="CT53" i="2"/>
  <c r="CT73" i="2"/>
  <c r="CR53" i="2"/>
  <c r="CR73" i="2"/>
  <c r="CP53" i="2"/>
  <c r="CP73" i="2"/>
  <c r="CN53" i="2"/>
  <c r="CN73" i="2"/>
  <c r="CJ53" i="2"/>
  <c r="CJ73" i="2"/>
  <c r="CH48" i="2"/>
  <c r="CH49" i="2"/>
  <c r="CH53" i="2"/>
  <c r="CH73" i="2"/>
  <c r="CE51" i="2"/>
  <c r="CE53" i="2"/>
  <c r="CE73" i="2"/>
  <c r="CC53" i="2"/>
  <c r="CC73" i="2"/>
  <c r="BZ53" i="2"/>
  <c r="BZ73" i="2"/>
  <c r="BW53" i="2"/>
  <c r="BW73" i="2"/>
  <c r="BU51" i="2"/>
  <c r="BU53" i="2"/>
  <c r="BU73" i="2"/>
  <c r="BR53" i="2"/>
  <c r="BR73" i="2"/>
  <c r="BP53" i="2"/>
  <c r="BP73" i="2"/>
  <c r="BN53" i="2"/>
  <c r="BN73" i="2"/>
  <c r="BK53" i="2"/>
  <c r="BK73" i="2"/>
  <c r="BI53" i="2"/>
  <c r="BI73" i="2"/>
  <c r="BF53" i="2"/>
  <c r="BF73" i="2"/>
  <c r="BC51" i="2"/>
  <c r="BC53" i="2"/>
  <c r="BC73" i="2"/>
  <c r="BA53" i="2"/>
  <c r="BA73" i="2"/>
  <c r="AY53" i="2"/>
  <c r="AY73" i="2"/>
  <c r="AW53" i="2"/>
  <c r="AW73" i="2"/>
  <c r="AU53" i="2"/>
  <c r="AU73" i="2"/>
  <c r="AS46" i="2"/>
  <c r="AS51" i="2"/>
  <c r="AS53" i="2"/>
  <c r="AQ48" i="2"/>
  <c r="AQ53" i="2"/>
  <c r="AQ73" i="2"/>
  <c r="AO50" i="2"/>
  <c r="AO53" i="2"/>
  <c r="AO73" i="2"/>
  <c r="AL53" i="2"/>
  <c r="AL73" i="2"/>
  <c r="AJ53" i="2"/>
  <c r="AJ73" i="2"/>
  <c r="AH53" i="2"/>
  <c r="AH73" i="2"/>
  <c r="AF53" i="2"/>
  <c r="AF73" i="2"/>
  <c r="AC53" i="2"/>
  <c r="AC73" i="2"/>
  <c r="AA53" i="2"/>
  <c r="AA73" i="2"/>
  <c r="X53" i="2"/>
  <c r="X73" i="2"/>
  <c r="V53" i="2"/>
  <c r="V73" i="2"/>
  <c r="T53" i="2"/>
  <c r="T73" i="2"/>
  <c r="R53" i="2"/>
  <c r="R73" i="2"/>
  <c r="P51" i="2"/>
  <c r="P53" i="2"/>
  <c r="P73" i="2"/>
  <c r="N53" i="2"/>
  <c r="N73" i="2"/>
  <c r="K53" i="2"/>
  <c r="K73" i="2"/>
  <c r="I51" i="2"/>
  <c r="I53" i="2"/>
  <c r="I73" i="2"/>
  <c r="F48" i="2"/>
  <c r="F50" i="2"/>
  <c r="F51" i="2"/>
  <c r="F53" i="2"/>
  <c r="F73" i="2"/>
  <c r="D53" i="2"/>
  <c r="D73" i="2"/>
  <c r="B53" i="2"/>
  <c r="B73" i="2"/>
  <c r="DI72" i="2"/>
  <c r="DF72" i="2"/>
  <c r="DD72" i="2"/>
  <c r="DB72" i="2"/>
  <c r="CZ72" i="2"/>
  <c r="CX72" i="2"/>
  <c r="CV72" i="2"/>
  <c r="CT72" i="2"/>
  <c r="CR72" i="2"/>
  <c r="CP72" i="2"/>
  <c r="CN72" i="2"/>
  <c r="CJ72" i="2"/>
  <c r="CH72" i="2"/>
  <c r="CE72" i="2"/>
  <c r="CC72" i="2"/>
  <c r="BZ72" i="2"/>
  <c r="BW72" i="2"/>
  <c r="BU72" i="2"/>
  <c r="BR72" i="2"/>
  <c r="BP72" i="2"/>
  <c r="BN72" i="2"/>
  <c r="BK72" i="2"/>
  <c r="BI72" i="2"/>
  <c r="BF72" i="2"/>
  <c r="BC72" i="2"/>
  <c r="BA72" i="2"/>
  <c r="AY72" i="2"/>
  <c r="AW72" i="2"/>
  <c r="AU72" i="2"/>
  <c r="AQ72" i="2"/>
  <c r="AO72" i="2"/>
  <c r="AL72" i="2"/>
  <c r="AJ72" i="2"/>
  <c r="AH72" i="2"/>
  <c r="AF72" i="2"/>
  <c r="AC72" i="2"/>
  <c r="AA72" i="2"/>
  <c r="X72" i="2"/>
  <c r="V72" i="2"/>
  <c r="T72" i="2"/>
  <c r="R72" i="2"/>
  <c r="P72" i="2"/>
  <c r="N72" i="2"/>
  <c r="K72" i="2"/>
  <c r="I72" i="2"/>
  <c r="F72" i="2"/>
  <c r="D72" i="2"/>
  <c r="B72" i="2"/>
  <c r="DI20" i="2"/>
  <c r="DI70" i="2"/>
  <c r="DF20" i="2"/>
  <c r="DF70" i="2"/>
  <c r="DD20" i="2"/>
  <c r="DD70" i="2"/>
  <c r="DB20" i="2"/>
  <c r="DB70" i="2"/>
  <c r="CZ20" i="2"/>
  <c r="CZ70" i="2"/>
  <c r="CX20" i="2"/>
  <c r="CX70" i="2"/>
  <c r="CV20" i="2"/>
  <c r="CV70" i="2"/>
  <c r="CT20" i="2"/>
  <c r="CT70" i="2"/>
  <c r="CR20" i="2"/>
  <c r="CR70" i="2"/>
  <c r="CP20" i="2"/>
  <c r="CP70" i="2"/>
  <c r="CN20" i="2"/>
  <c r="CN70" i="2"/>
  <c r="CJ20" i="2"/>
  <c r="CJ70" i="2"/>
  <c r="CH20" i="2"/>
  <c r="CH70" i="2"/>
  <c r="CE20" i="2"/>
  <c r="CE70" i="2"/>
  <c r="CC20" i="2"/>
  <c r="CC70" i="2"/>
  <c r="BZ20" i="2"/>
  <c r="BZ70" i="2"/>
  <c r="BW20" i="2"/>
  <c r="BW70" i="2"/>
  <c r="BU20" i="2"/>
  <c r="BU70" i="2"/>
  <c r="BR20" i="2"/>
  <c r="BR70" i="2"/>
  <c r="BP20" i="2"/>
  <c r="BP70" i="2"/>
  <c r="BN20" i="2"/>
  <c r="BN70" i="2"/>
  <c r="BK20" i="2"/>
  <c r="BK70" i="2"/>
  <c r="BI20" i="2"/>
  <c r="BI70" i="2"/>
  <c r="BF20" i="2"/>
  <c r="BF70" i="2"/>
  <c r="BC20" i="2"/>
  <c r="BC70" i="2"/>
  <c r="BA20" i="2"/>
  <c r="BA70" i="2"/>
  <c r="AY20" i="2"/>
  <c r="AY70" i="2"/>
  <c r="AW20" i="2"/>
  <c r="AW70" i="2"/>
  <c r="AU20" i="2"/>
  <c r="AU70" i="2"/>
  <c r="AS20" i="2"/>
  <c r="AS70" i="2"/>
  <c r="AQ20" i="2"/>
  <c r="AQ70" i="2"/>
  <c r="AO20" i="2"/>
  <c r="AO70" i="2"/>
  <c r="AL20" i="2"/>
  <c r="AL70" i="2"/>
  <c r="AJ20" i="2"/>
  <c r="AJ70" i="2"/>
  <c r="AH20" i="2"/>
  <c r="AH70" i="2"/>
  <c r="AF20" i="2"/>
  <c r="AF70" i="2"/>
  <c r="AC20" i="2"/>
  <c r="AC70" i="2"/>
  <c r="AA20" i="2"/>
  <c r="AA70" i="2"/>
  <c r="X20" i="2"/>
  <c r="X70" i="2"/>
  <c r="V20" i="2"/>
  <c r="V70" i="2"/>
  <c r="T20" i="2"/>
  <c r="T70" i="2"/>
  <c r="R20" i="2"/>
  <c r="R70" i="2"/>
  <c r="P20" i="2"/>
  <c r="P70" i="2"/>
  <c r="N20" i="2"/>
  <c r="N70" i="2"/>
  <c r="K20" i="2"/>
  <c r="K70" i="2"/>
  <c r="I20" i="2"/>
  <c r="I70" i="2"/>
  <c r="F20" i="2"/>
  <c r="F70" i="2"/>
  <c r="D20" i="2"/>
  <c r="D22" i="2"/>
  <c r="D70" i="2"/>
  <c r="B20" i="2"/>
  <c r="B22" i="2"/>
  <c r="B70" i="2"/>
  <c r="DI69" i="2"/>
  <c r="DF69" i="2"/>
  <c r="DD69" i="2"/>
  <c r="DB69" i="2"/>
  <c r="CZ69" i="2"/>
  <c r="CX69" i="2"/>
  <c r="CV69" i="2"/>
  <c r="CT69" i="2"/>
  <c r="CR69" i="2"/>
  <c r="CP69" i="2"/>
  <c r="CN69" i="2"/>
  <c r="CJ69" i="2"/>
  <c r="CH69" i="2"/>
  <c r="CE69" i="2"/>
  <c r="CC69" i="2"/>
  <c r="BZ69" i="2"/>
  <c r="BW69" i="2"/>
  <c r="BU69" i="2"/>
  <c r="BR69" i="2"/>
  <c r="BP69" i="2"/>
  <c r="BN69" i="2"/>
  <c r="BK69" i="2"/>
  <c r="BI69" i="2"/>
  <c r="BC69" i="2"/>
  <c r="BA69" i="2"/>
  <c r="AY69" i="2"/>
  <c r="AW69" i="2"/>
  <c r="AU69" i="2"/>
  <c r="AQ69" i="2"/>
  <c r="AO69" i="2"/>
  <c r="AL69" i="2"/>
  <c r="AJ69" i="2"/>
  <c r="AF69" i="2"/>
  <c r="AC69" i="2"/>
  <c r="AA69" i="2"/>
  <c r="X69" i="2"/>
  <c r="V69" i="2"/>
  <c r="T69" i="2"/>
  <c r="R69" i="2"/>
  <c r="P69" i="2"/>
  <c r="N69" i="2"/>
  <c r="I69" i="2"/>
  <c r="F69" i="2"/>
  <c r="D60" i="2"/>
  <c r="D69" i="2"/>
  <c r="B60" i="2"/>
  <c r="B69" i="2"/>
  <c r="DU22" i="2"/>
  <c r="DU68" i="2"/>
  <c r="DR22" i="2"/>
  <c r="DR68" i="2"/>
  <c r="DP22" i="2"/>
  <c r="DP68" i="2"/>
  <c r="DM22" i="2"/>
  <c r="DM68" i="2"/>
  <c r="DK22" i="2"/>
  <c r="DK68" i="2"/>
  <c r="DI22" i="2"/>
  <c r="DI68" i="2"/>
  <c r="DF22" i="2"/>
  <c r="DF68" i="2"/>
  <c r="DD22" i="2"/>
  <c r="DD68" i="2"/>
  <c r="DB22" i="2"/>
  <c r="DB68" i="2"/>
  <c r="CZ22" i="2"/>
  <c r="CZ68" i="2"/>
  <c r="CX22" i="2"/>
  <c r="CX68" i="2"/>
  <c r="CV22" i="2"/>
  <c r="CV68" i="2"/>
  <c r="CT22" i="2"/>
  <c r="CT68" i="2"/>
  <c r="CR22" i="2"/>
  <c r="CR68" i="2"/>
  <c r="CP22" i="2"/>
  <c r="CP68" i="2"/>
  <c r="CN22" i="2"/>
  <c r="CN68" i="2"/>
  <c r="CL20" i="2"/>
  <c r="CL22" i="2"/>
  <c r="CL68" i="2"/>
  <c r="CJ22" i="2"/>
  <c r="CJ68" i="2"/>
  <c r="CH22" i="2"/>
  <c r="CH68" i="2"/>
  <c r="CE22" i="2"/>
  <c r="CE68" i="2"/>
  <c r="CC22" i="2"/>
  <c r="CC68" i="2"/>
  <c r="BZ22" i="2"/>
  <c r="BZ68" i="2"/>
  <c r="BW22" i="2"/>
  <c r="BW68" i="2"/>
  <c r="BU22" i="2"/>
  <c r="BU68" i="2"/>
  <c r="BR22" i="2"/>
  <c r="BR68" i="2"/>
  <c r="BP22" i="2"/>
  <c r="BP68" i="2"/>
  <c r="BN22" i="2"/>
  <c r="BN68" i="2"/>
  <c r="BK22" i="2"/>
  <c r="BK68" i="2"/>
  <c r="BI22" i="2"/>
  <c r="BI68" i="2"/>
  <c r="BC22" i="2"/>
  <c r="BC68" i="2"/>
  <c r="BA22" i="2"/>
  <c r="BA68" i="2"/>
  <c r="AY22" i="2"/>
  <c r="AY68" i="2"/>
  <c r="AW22" i="2"/>
  <c r="AW68" i="2"/>
  <c r="AU22" i="2"/>
  <c r="AU68" i="2"/>
  <c r="AS22" i="2"/>
  <c r="AS68" i="2"/>
  <c r="AQ22" i="2"/>
  <c r="AQ68" i="2"/>
  <c r="AO22" i="2"/>
  <c r="AO68" i="2"/>
  <c r="AL22" i="2"/>
  <c r="AL68" i="2"/>
  <c r="AJ22" i="2"/>
  <c r="AJ68" i="2"/>
  <c r="AF22" i="2"/>
  <c r="AF68" i="2"/>
  <c r="AC22" i="2"/>
  <c r="AC68" i="2"/>
  <c r="AA22" i="2"/>
  <c r="AA68" i="2"/>
  <c r="X22" i="2"/>
  <c r="X68" i="2"/>
  <c r="V22" i="2"/>
  <c r="V68" i="2"/>
  <c r="T22" i="2"/>
  <c r="T68" i="2"/>
  <c r="R22" i="2"/>
  <c r="R68" i="2"/>
  <c r="P22" i="2"/>
  <c r="P68" i="2"/>
  <c r="N22" i="2"/>
  <c r="N68" i="2"/>
  <c r="I22" i="2"/>
  <c r="I68" i="2"/>
  <c r="F22" i="2"/>
  <c r="F68" i="2"/>
  <c r="B68" i="2"/>
  <c r="DI67" i="2"/>
  <c r="DF67" i="2"/>
  <c r="DD67" i="2"/>
  <c r="DB67" i="2"/>
  <c r="CZ67" i="2"/>
  <c r="CX67" i="2"/>
  <c r="CV67" i="2"/>
  <c r="CT67" i="2"/>
  <c r="CR67" i="2"/>
  <c r="CP67" i="2"/>
  <c r="CN67" i="2"/>
  <c r="CJ67" i="2"/>
  <c r="CH67" i="2"/>
  <c r="CE67" i="2"/>
  <c r="CC67" i="2"/>
  <c r="BZ67" i="2"/>
  <c r="BW67" i="2"/>
  <c r="BU67" i="2"/>
  <c r="BR67" i="2"/>
  <c r="BP67" i="2"/>
  <c r="BN67" i="2"/>
  <c r="BK67" i="2"/>
  <c r="BI67" i="2"/>
  <c r="BC67" i="2"/>
  <c r="BA67" i="2"/>
  <c r="AY67" i="2"/>
  <c r="AW67" i="2"/>
  <c r="AU67" i="2"/>
  <c r="AS67" i="2"/>
  <c r="AQ67" i="2"/>
  <c r="AO67" i="2"/>
  <c r="AL67" i="2"/>
  <c r="AJ67" i="2"/>
  <c r="AF67" i="2"/>
  <c r="AC67" i="2"/>
  <c r="AA67" i="2"/>
  <c r="X67" i="2"/>
  <c r="V67" i="2"/>
  <c r="T67" i="2"/>
  <c r="R67" i="2"/>
  <c r="P67" i="2"/>
  <c r="N67" i="2"/>
  <c r="I67" i="2"/>
  <c r="F67" i="2"/>
  <c r="D67" i="2"/>
  <c r="B67" i="2"/>
  <c r="DI66" i="2"/>
  <c r="DF66" i="2"/>
  <c r="DD66" i="2"/>
  <c r="DB66" i="2"/>
  <c r="CZ66" i="2"/>
  <c r="CX66" i="2"/>
  <c r="CV66" i="2"/>
  <c r="CT66" i="2"/>
  <c r="CR66" i="2"/>
  <c r="CP66" i="2"/>
  <c r="CN66" i="2"/>
  <c r="CJ66" i="2"/>
  <c r="CH66" i="2"/>
  <c r="CE66" i="2"/>
  <c r="CC66" i="2"/>
  <c r="BZ66" i="2"/>
  <c r="BW66" i="2"/>
  <c r="BU66" i="2"/>
  <c r="BR66" i="2"/>
  <c r="BP66" i="2"/>
  <c r="BN66" i="2"/>
  <c r="BK66" i="2"/>
  <c r="BI66" i="2"/>
  <c r="BC66" i="2"/>
  <c r="BA66" i="2"/>
  <c r="AY66" i="2"/>
  <c r="AW66" i="2"/>
  <c r="AU66" i="2"/>
  <c r="AQ66" i="2"/>
  <c r="AO66" i="2"/>
  <c r="AL66" i="2"/>
  <c r="AJ66" i="2"/>
  <c r="AF66" i="2"/>
  <c r="AC66" i="2"/>
  <c r="AA66" i="2"/>
  <c r="X66" i="2"/>
  <c r="V66" i="2"/>
  <c r="T66" i="2"/>
  <c r="R66" i="2"/>
  <c r="P66" i="2"/>
  <c r="N66" i="2"/>
  <c r="I66" i="2"/>
  <c r="F66" i="2"/>
  <c r="D66" i="2"/>
  <c r="B66" i="2"/>
  <c r="DI59" i="2"/>
  <c r="DI60" i="2"/>
  <c r="DI62" i="2"/>
  <c r="DF60" i="2"/>
  <c r="DF62" i="2"/>
  <c r="DD60" i="2"/>
  <c r="DD62" i="2"/>
  <c r="DB60" i="2"/>
  <c r="DB62" i="2"/>
  <c r="CZ60" i="2"/>
  <c r="CZ62" i="2"/>
  <c r="CX60" i="2"/>
  <c r="CX62" i="2"/>
  <c r="CV60" i="2"/>
  <c r="CV62" i="2"/>
  <c r="CT60" i="2"/>
  <c r="CT62" i="2"/>
  <c r="CR60" i="2"/>
  <c r="CR62" i="2"/>
  <c r="CP60" i="2"/>
  <c r="CP62" i="2"/>
  <c r="CN60" i="2"/>
  <c r="CN62" i="2"/>
  <c r="CL59" i="2"/>
  <c r="CL60" i="2"/>
  <c r="CL51" i="2"/>
  <c r="CL53" i="2"/>
  <c r="CL62" i="2"/>
  <c r="CJ60" i="2"/>
  <c r="CJ62" i="2"/>
  <c r="CH56" i="2"/>
  <c r="CH59" i="2"/>
  <c r="CH60" i="2"/>
  <c r="CH62" i="2"/>
  <c r="CE60" i="2"/>
  <c r="CE62" i="2"/>
  <c r="CC59" i="2"/>
  <c r="CC60" i="2"/>
  <c r="CC62" i="2"/>
  <c r="BZ60" i="2"/>
  <c r="BZ62" i="2"/>
  <c r="BW58" i="2"/>
  <c r="BW59" i="2"/>
  <c r="BW60" i="2"/>
  <c r="BW62" i="2"/>
  <c r="BU59" i="2"/>
  <c r="BU60" i="2"/>
  <c r="BU62" i="2"/>
  <c r="BR60" i="2"/>
  <c r="BR62" i="2"/>
  <c r="BP60" i="2"/>
  <c r="BP62" i="2"/>
  <c r="BN60" i="2"/>
  <c r="BN62" i="2"/>
  <c r="BK59" i="2"/>
  <c r="BK60" i="2"/>
  <c r="BK62" i="2"/>
  <c r="BI59" i="2"/>
  <c r="BI60" i="2"/>
  <c r="BI62" i="2"/>
  <c r="BF60" i="2"/>
  <c r="BF62" i="2"/>
  <c r="BC60" i="2"/>
  <c r="BC62" i="2"/>
  <c r="BA59" i="2"/>
  <c r="BA60" i="2"/>
  <c r="BA62" i="2"/>
  <c r="AY60" i="2"/>
  <c r="AY62" i="2"/>
  <c r="AW60" i="2"/>
  <c r="AW62" i="2"/>
  <c r="AU60" i="2"/>
  <c r="AU62" i="2"/>
  <c r="AS59" i="2"/>
  <c r="AS60" i="2"/>
  <c r="AS62" i="2"/>
  <c r="AQ59" i="2"/>
  <c r="AQ60" i="2"/>
  <c r="AQ62" i="2"/>
  <c r="AO59" i="2"/>
  <c r="AO60" i="2"/>
  <c r="AO62" i="2"/>
  <c r="AL59" i="2"/>
  <c r="AL60" i="2"/>
  <c r="AL62" i="2"/>
  <c r="AJ60" i="2"/>
  <c r="AJ62" i="2"/>
  <c r="AH60" i="2"/>
  <c r="AH62" i="2"/>
  <c r="AF59" i="2"/>
  <c r="AF60" i="2"/>
  <c r="AF62" i="2"/>
  <c r="AC60" i="2"/>
  <c r="AC62" i="2"/>
  <c r="AA60" i="2"/>
  <c r="AA62" i="2"/>
  <c r="X60" i="2"/>
  <c r="X62" i="2"/>
  <c r="V59" i="2"/>
  <c r="V60" i="2"/>
  <c r="V62" i="2"/>
  <c r="T60" i="2"/>
  <c r="T62" i="2"/>
  <c r="R59" i="2"/>
  <c r="R60" i="2"/>
  <c r="R62" i="2"/>
  <c r="P59" i="2"/>
  <c r="P60" i="2"/>
  <c r="P62" i="2"/>
  <c r="N59" i="2"/>
  <c r="N60" i="2"/>
  <c r="N62" i="2"/>
  <c r="K60" i="2"/>
  <c r="K62" i="2"/>
  <c r="I59" i="2"/>
  <c r="I60" i="2"/>
  <c r="I62" i="2"/>
  <c r="F60" i="2"/>
  <c r="F62" i="2"/>
  <c r="D62" i="2"/>
  <c r="B62" i="2"/>
  <c r="DU60" i="2"/>
  <c r="DR60" i="2"/>
  <c r="DP60" i="2"/>
  <c r="DM60" i="2"/>
  <c r="DK60" i="2"/>
  <c r="CL37" i="2"/>
  <c r="CL38" i="2"/>
  <c r="CL42" i="2"/>
  <c r="CL29" i="2"/>
  <c r="CL30" i="2"/>
  <c r="CL32" i="2"/>
  <c r="CL33" i="2"/>
  <c r="CL43" i="2"/>
  <c r="DV22" i="2"/>
  <c r="DS22" i="2"/>
  <c r="DQ22" i="2"/>
  <c r="DN22" i="2"/>
  <c r="DL22" i="2"/>
  <c r="DJ22" i="2"/>
  <c r="DG22" i="2"/>
  <c r="DE22" i="2"/>
  <c r="DC22" i="2"/>
  <c r="DA22" i="2"/>
  <c r="CY22" i="2"/>
  <c r="CW22" i="2"/>
  <c r="CU22" i="2"/>
  <c r="CS22" i="2"/>
  <c r="CQ22" i="2"/>
  <c r="CO22" i="2"/>
  <c r="CM22" i="2"/>
  <c r="CK22" i="2"/>
  <c r="CI22" i="2"/>
  <c r="CF22" i="2"/>
  <c r="CD22" i="2"/>
  <c r="CA22" i="2"/>
  <c r="BX22" i="2"/>
  <c r="BV22" i="2"/>
  <c r="BS22" i="2"/>
  <c r="BQ22" i="2"/>
  <c r="BO22" i="2"/>
  <c r="BL22" i="2"/>
  <c r="BJ22" i="2"/>
  <c r="BD22" i="2"/>
  <c r="BB22" i="2"/>
  <c r="AZ22" i="2"/>
  <c r="AX22" i="2"/>
  <c r="AV22" i="2"/>
  <c r="AT22" i="2"/>
  <c r="AR22" i="2"/>
  <c r="AP22" i="2"/>
  <c r="AM22" i="2"/>
  <c r="AK22" i="2"/>
  <c r="AG22" i="2"/>
  <c r="AD22" i="2"/>
  <c r="AB22" i="2"/>
  <c r="Y22" i="2"/>
  <c r="W22" i="2"/>
  <c r="U22" i="2"/>
  <c r="S22" i="2"/>
  <c r="Q22" i="2"/>
  <c r="O22" i="2"/>
  <c r="J22" i="2"/>
  <c r="G22" i="2"/>
  <c r="E22" i="2"/>
  <c r="C22" i="2"/>
  <c r="DJ20" i="2"/>
  <c r="DG20" i="2"/>
  <c r="DE20" i="2"/>
  <c r="DC20" i="2"/>
  <c r="DA20" i="2"/>
  <c r="CY20" i="2"/>
  <c r="CW20" i="2"/>
  <c r="CU20" i="2"/>
  <c r="CS20" i="2"/>
  <c r="CQ20" i="2"/>
  <c r="CO20" i="2"/>
  <c r="CK20" i="2"/>
  <c r="CI20" i="2"/>
  <c r="CF20" i="2"/>
  <c r="CD20" i="2"/>
  <c r="CA20" i="2"/>
  <c r="BX20" i="2"/>
  <c r="BV20" i="2"/>
  <c r="BS20" i="2"/>
  <c r="BQ20" i="2"/>
  <c r="BO20" i="2"/>
  <c r="BL20" i="2"/>
  <c r="BJ20" i="2"/>
  <c r="BG20" i="2"/>
  <c r="BD20" i="2"/>
  <c r="BB20" i="2"/>
  <c r="AZ20" i="2"/>
  <c r="AX20" i="2"/>
  <c r="AV20" i="2"/>
  <c r="AT20" i="2"/>
  <c r="AR20" i="2"/>
  <c r="AP20" i="2"/>
  <c r="AM20" i="2"/>
  <c r="AK20" i="2"/>
  <c r="AI20" i="2"/>
  <c r="AG20" i="2"/>
  <c r="AD20" i="2"/>
  <c r="AB20" i="2"/>
  <c r="Y20" i="2"/>
  <c r="W20" i="2"/>
  <c r="U20" i="2"/>
  <c r="S20" i="2"/>
  <c r="Q20" i="2"/>
  <c r="O20" i="2"/>
  <c r="L20" i="2"/>
  <c r="J20" i="2"/>
  <c r="G20" i="2"/>
  <c r="E20" i="2"/>
  <c r="C20" i="2"/>
  <c r="DJ18" i="2"/>
  <c r="DG18" i="2"/>
  <c r="DE18" i="2"/>
  <c r="DC18" i="2"/>
  <c r="DA18" i="2"/>
  <c r="CY18" i="2"/>
  <c r="CW18" i="2"/>
  <c r="CU18" i="2"/>
  <c r="CS18" i="2"/>
  <c r="CQ18" i="2"/>
  <c r="CO18" i="2"/>
  <c r="CK18" i="2"/>
  <c r="CI18" i="2"/>
  <c r="CF18" i="2"/>
  <c r="CD18" i="2"/>
  <c r="CA18" i="2"/>
  <c r="BX18" i="2"/>
  <c r="BV18" i="2"/>
  <c r="BS18" i="2"/>
  <c r="BQ18" i="2"/>
  <c r="BO18" i="2"/>
  <c r="BL18" i="2"/>
  <c r="BJ18" i="2"/>
  <c r="BG18" i="2"/>
  <c r="BD18" i="2"/>
  <c r="BB18" i="2"/>
  <c r="AZ18" i="2"/>
  <c r="AX18" i="2"/>
  <c r="AV18" i="2"/>
  <c r="AT18" i="2"/>
  <c r="AR18" i="2"/>
  <c r="AP18" i="2"/>
  <c r="AM18" i="2"/>
  <c r="AK18" i="2"/>
  <c r="AI18" i="2"/>
  <c r="AG18" i="2"/>
  <c r="AD18" i="2"/>
  <c r="AB18" i="2"/>
  <c r="Y18" i="2"/>
  <c r="W18" i="2"/>
  <c r="U18" i="2"/>
  <c r="S18" i="2"/>
  <c r="Q18" i="2"/>
  <c r="O18" i="2"/>
  <c r="L18" i="2"/>
  <c r="J18" i="2"/>
  <c r="G18" i="2"/>
  <c r="E18" i="2"/>
  <c r="C18" i="2"/>
  <c r="DU7" i="2"/>
  <c r="DU9" i="2"/>
  <c r="DU15" i="2"/>
  <c r="DR7" i="2"/>
  <c r="DR9" i="2"/>
  <c r="DR15" i="2"/>
  <c r="DP7" i="2"/>
  <c r="DP9" i="2"/>
  <c r="DP15" i="2"/>
  <c r="DM7" i="2"/>
  <c r="DM9" i="2"/>
  <c r="DM15" i="2"/>
  <c r="DK7" i="2"/>
  <c r="DK9" i="2"/>
  <c r="DK15" i="2"/>
  <c r="DJ15" i="2"/>
  <c r="DG15" i="2"/>
  <c r="DE15" i="2"/>
  <c r="DC15" i="2"/>
  <c r="DA15" i="2"/>
  <c r="CY15" i="2"/>
  <c r="CW15" i="2"/>
  <c r="CU15" i="2"/>
  <c r="CS15" i="2"/>
  <c r="CQ15" i="2"/>
  <c r="CO15" i="2"/>
  <c r="CK15" i="2"/>
  <c r="CI15" i="2"/>
  <c r="CF15" i="2"/>
  <c r="CD15" i="2"/>
  <c r="CA15" i="2"/>
  <c r="BX15" i="2"/>
  <c r="BV15" i="2"/>
  <c r="BS15" i="2"/>
  <c r="BQ15" i="2"/>
  <c r="BO15" i="2"/>
  <c r="BL15" i="2"/>
  <c r="BJ15" i="2"/>
  <c r="BG15" i="2"/>
  <c r="BD15" i="2"/>
  <c r="BB15" i="2"/>
  <c r="AZ15" i="2"/>
  <c r="AX15" i="2"/>
  <c r="AV15" i="2"/>
  <c r="AT15" i="2"/>
  <c r="AR15" i="2"/>
  <c r="AP15" i="2"/>
  <c r="AM15" i="2"/>
  <c r="AK15" i="2"/>
  <c r="AI15" i="2"/>
  <c r="AG15" i="2"/>
  <c r="AD15" i="2"/>
  <c r="AB15" i="2"/>
  <c r="Y15" i="2"/>
  <c r="W15" i="2"/>
  <c r="U15" i="2"/>
  <c r="S15" i="2"/>
  <c r="Q15" i="2"/>
  <c r="O15" i="2"/>
  <c r="L15" i="2"/>
  <c r="J15" i="2"/>
  <c r="G15" i="2"/>
  <c r="E15" i="2"/>
  <c r="C15" i="2"/>
  <c r="DJ9" i="2"/>
  <c r="DG9" i="2"/>
  <c r="DE9" i="2"/>
  <c r="DC9" i="2"/>
  <c r="DA9" i="2"/>
  <c r="CY9" i="2"/>
  <c r="CW9" i="2"/>
  <c r="CU9" i="2"/>
  <c r="CS9" i="2"/>
  <c r="CQ9" i="2"/>
  <c r="CO9" i="2"/>
  <c r="CK9" i="2"/>
  <c r="CI9" i="2"/>
  <c r="CF9" i="2"/>
  <c r="CD9" i="2"/>
  <c r="CA9" i="2"/>
  <c r="BX9" i="2"/>
  <c r="BV9" i="2"/>
  <c r="BS9" i="2"/>
  <c r="BQ9" i="2"/>
  <c r="BO9" i="2"/>
  <c r="BL9" i="2"/>
  <c r="BJ9" i="2"/>
  <c r="BG9" i="2"/>
  <c r="BD9" i="2"/>
  <c r="BB9" i="2"/>
  <c r="AZ9" i="2"/>
  <c r="AX9" i="2"/>
  <c r="AV9" i="2"/>
  <c r="AT9" i="2"/>
  <c r="AR9" i="2"/>
  <c r="AP9" i="2"/>
  <c r="AM9" i="2"/>
  <c r="AK9" i="2"/>
  <c r="AI9" i="2"/>
  <c r="AG9" i="2"/>
  <c r="AD9" i="2"/>
  <c r="AB9" i="2"/>
  <c r="Y9" i="2"/>
  <c r="W9" i="2"/>
  <c r="U9" i="2"/>
  <c r="S9" i="2"/>
  <c r="Q9" i="2"/>
  <c r="O9" i="2"/>
  <c r="L9" i="2"/>
  <c r="J9" i="2"/>
  <c r="G9" i="2"/>
  <c r="E9" i="2"/>
  <c r="C9" i="2"/>
  <c r="D88" i="1"/>
  <c r="BU91" i="1"/>
  <c r="BK91" i="1"/>
  <c r="T91" i="1"/>
  <c r="D91" i="1"/>
  <c r="CP30" i="1"/>
  <c r="CP32" i="1"/>
  <c r="CP33" i="1"/>
  <c r="B9" i="1"/>
  <c r="B15" i="1"/>
  <c r="B18" i="1"/>
  <c r="B20" i="1"/>
  <c r="B22" i="1"/>
  <c r="C22" i="1"/>
  <c r="B7" i="1"/>
  <c r="B86" i="1"/>
  <c r="B85" i="1"/>
  <c r="B84" i="1"/>
  <c r="B83" i="1"/>
  <c r="B82" i="1"/>
  <c r="B79" i="1"/>
  <c r="B70" i="1"/>
  <c r="B69" i="1"/>
  <c r="B68" i="1"/>
  <c r="B67" i="1"/>
  <c r="B66" i="1"/>
  <c r="DI76" i="1"/>
  <c r="CP76" i="1"/>
  <c r="CN76" i="1"/>
  <c r="CL76" i="1"/>
  <c r="CH76" i="1"/>
  <c r="CE76" i="1"/>
  <c r="CC76" i="1"/>
  <c r="BW76" i="1"/>
  <c r="BU76" i="1"/>
  <c r="BK76" i="1"/>
  <c r="BI76" i="1"/>
  <c r="BC76" i="1"/>
  <c r="BA76" i="1"/>
  <c r="AS100" i="1"/>
  <c r="AS102" i="1"/>
  <c r="AS8" i="1"/>
  <c r="AS76" i="1"/>
  <c r="AQ76" i="1"/>
  <c r="AO76" i="1"/>
  <c r="AL76" i="1"/>
  <c r="AF76" i="1"/>
  <c r="T76" i="1"/>
  <c r="B76" i="1"/>
  <c r="D77" i="1"/>
  <c r="D76" i="1"/>
  <c r="D79" i="1"/>
  <c r="DI15" i="1"/>
  <c r="CP15" i="1"/>
  <c r="DI9" i="1"/>
  <c r="DI8" i="1"/>
  <c r="DI10" i="1"/>
  <c r="DI102" i="1"/>
  <c r="DI100" i="1"/>
  <c r="BC15" i="1"/>
  <c r="BC9" i="1"/>
  <c r="BC8" i="1"/>
  <c r="BC10" i="1"/>
  <c r="BC102" i="1"/>
  <c r="BC100" i="1"/>
  <c r="BA15" i="1"/>
  <c r="BA9" i="1"/>
  <c r="BA8" i="1"/>
  <c r="BA10" i="1"/>
  <c r="AS9" i="1"/>
  <c r="AS10" i="1"/>
  <c r="AS15" i="1"/>
  <c r="AQ9" i="1"/>
  <c r="AQ15" i="1"/>
  <c r="AQ18" i="1"/>
  <c r="AQ20" i="1"/>
  <c r="AQ22" i="1"/>
  <c r="AQ8" i="1"/>
  <c r="AQ10" i="1"/>
  <c r="AO15" i="1"/>
  <c r="AO9" i="1"/>
  <c r="AO8" i="1"/>
  <c r="AO10" i="1"/>
  <c r="BA102" i="1"/>
  <c r="BA100" i="1"/>
  <c r="AQ102" i="1"/>
  <c r="AO102" i="1"/>
  <c r="AQ100" i="1"/>
  <c r="AO100" i="1"/>
  <c r="CN92" i="1"/>
  <c r="CN60" i="1"/>
  <c r="CN33" i="1"/>
  <c r="CN32" i="1"/>
  <c r="CN28" i="1"/>
  <c r="CN53" i="1"/>
  <c r="CN42" i="1"/>
  <c r="CN17" i="1"/>
  <c r="CN15" i="1"/>
  <c r="CN14" i="1"/>
  <c r="CN10" i="1"/>
  <c r="CN8" i="1"/>
  <c r="CN5" i="1"/>
  <c r="CN6" i="1"/>
  <c r="CN91" i="1"/>
  <c r="CN90" i="1"/>
  <c r="CN43" i="1"/>
  <c r="CN89" i="1"/>
  <c r="CN7" i="1"/>
  <c r="CN9" i="1"/>
  <c r="CN18" i="1"/>
  <c r="CN88" i="1"/>
  <c r="CN86" i="1"/>
  <c r="CN85" i="1"/>
  <c r="CN84" i="1"/>
  <c r="CN83" i="1"/>
  <c r="CN82" i="1"/>
  <c r="CN79" i="1"/>
  <c r="CN78" i="1"/>
  <c r="CN77" i="1"/>
  <c r="CN75" i="1"/>
  <c r="CN73" i="1"/>
  <c r="CN72" i="1"/>
  <c r="CN20" i="1"/>
  <c r="CN70" i="1"/>
  <c r="CN69" i="1"/>
  <c r="CN22" i="1"/>
  <c r="CN68" i="1"/>
  <c r="CN67" i="1"/>
  <c r="CN66" i="1"/>
  <c r="CN62" i="1"/>
  <c r="CO22" i="1"/>
  <c r="CO20" i="1"/>
  <c r="CO18" i="1"/>
  <c r="CO15" i="1"/>
  <c r="CO9" i="1"/>
  <c r="BC92" i="1"/>
  <c r="DI7" i="1"/>
  <c r="DI14" i="1"/>
  <c r="DI16" i="1"/>
  <c r="DI17" i="1"/>
  <c r="DI18" i="1"/>
  <c r="DI88" i="1"/>
  <c r="CP5" i="1"/>
  <c r="CP6" i="1"/>
  <c r="CP7" i="1"/>
  <c r="CP8" i="1"/>
  <c r="CP9" i="1"/>
  <c r="CP10" i="1"/>
  <c r="CP18" i="1"/>
  <c r="CP88" i="1"/>
  <c r="CL7" i="1"/>
  <c r="CL9" i="1"/>
  <c r="CL12" i="1"/>
  <c r="CL14" i="1"/>
  <c r="CL15" i="1"/>
  <c r="CL18" i="1"/>
  <c r="CL88" i="1"/>
  <c r="CH7" i="1"/>
  <c r="CH9" i="1"/>
  <c r="CH12" i="1"/>
  <c r="CH14" i="1"/>
  <c r="CH15" i="1"/>
  <c r="CH16" i="1"/>
  <c r="CH18" i="1"/>
  <c r="CH88" i="1"/>
  <c r="CE7" i="1"/>
  <c r="CE9" i="1"/>
  <c r="CE12" i="1"/>
  <c r="CE15" i="1"/>
  <c r="CE16" i="1"/>
  <c r="CE18" i="1"/>
  <c r="CE88" i="1"/>
  <c r="CC7" i="1"/>
  <c r="CC9" i="1"/>
  <c r="CC15" i="1"/>
  <c r="CC18" i="1"/>
  <c r="CC88" i="1"/>
  <c r="BW7" i="1"/>
  <c r="BW9" i="1"/>
  <c r="BW15" i="1"/>
  <c r="BW17" i="1"/>
  <c r="BW18" i="1"/>
  <c r="BW88" i="1"/>
  <c r="BU7" i="1"/>
  <c r="BU9" i="1"/>
  <c r="BU12" i="1"/>
  <c r="BU14" i="1"/>
  <c r="BU15" i="1"/>
  <c r="BU16" i="1"/>
  <c r="BU18" i="1"/>
  <c r="BU88" i="1"/>
  <c r="BK7" i="1"/>
  <c r="BK9" i="1"/>
  <c r="BK12" i="1"/>
  <c r="BK15" i="1"/>
  <c r="BK16" i="1"/>
  <c r="BK18" i="1"/>
  <c r="BK88" i="1"/>
  <c r="BI7" i="1"/>
  <c r="BI9" i="1"/>
  <c r="BI12" i="1"/>
  <c r="BI15" i="1"/>
  <c r="BI16" i="1"/>
  <c r="BI18" i="1"/>
  <c r="BI88" i="1"/>
  <c r="BC7" i="1"/>
  <c r="BC14" i="1"/>
  <c r="BC16" i="1"/>
  <c r="BC18" i="1"/>
  <c r="BC88" i="1"/>
  <c r="BA7" i="1"/>
  <c r="BA16" i="1"/>
  <c r="BA18" i="1"/>
  <c r="BA88" i="1"/>
  <c r="AS7" i="1"/>
  <c r="AS16" i="1"/>
  <c r="AS17" i="1"/>
  <c r="AS18" i="1"/>
  <c r="AS88" i="1"/>
  <c r="AQ7" i="1"/>
  <c r="AQ13" i="1"/>
  <c r="AQ14" i="1"/>
  <c r="AQ16" i="1"/>
  <c r="AQ17" i="1"/>
  <c r="AQ88" i="1"/>
  <c r="AO7" i="1"/>
  <c r="AO18" i="1"/>
  <c r="AO88" i="1"/>
  <c r="AL7" i="1"/>
  <c r="AL10" i="1"/>
  <c r="AL15" i="1"/>
  <c r="AL16" i="1"/>
  <c r="AL18" i="1"/>
  <c r="AL88" i="1"/>
  <c r="AF7" i="1"/>
  <c r="AF9" i="1"/>
  <c r="AF12" i="1"/>
  <c r="AF14" i="1"/>
  <c r="AF15" i="1"/>
  <c r="AF16" i="1"/>
  <c r="AF18" i="1"/>
  <c r="AF88" i="1"/>
  <c r="T7" i="1"/>
  <c r="T9" i="1"/>
  <c r="T12" i="1"/>
  <c r="T14" i="1"/>
  <c r="T15" i="1"/>
  <c r="T16" i="1"/>
  <c r="T18" i="1"/>
  <c r="T88" i="1"/>
  <c r="CE86" i="1"/>
  <c r="CP86" i="1"/>
  <c r="CL86" i="1"/>
  <c r="CH86" i="1"/>
  <c r="CC86" i="1"/>
  <c r="BW86" i="1"/>
  <c r="BU86" i="1"/>
  <c r="BK86" i="1"/>
  <c r="BI86" i="1"/>
  <c r="BC86" i="1"/>
  <c r="BA86" i="1"/>
  <c r="AS86" i="1"/>
  <c r="AQ86" i="1"/>
  <c r="AO86" i="1"/>
  <c r="AL86" i="1"/>
  <c r="AF86" i="1"/>
  <c r="T86" i="1"/>
  <c r="DI79" i="1"/>
  <c r="CP79" i="1"/>
  <c r="CL79" i="1"/>
  <c r="CH79" i="1"/>
  <c r="CE79" i="1"/>
  <c r="CC79" i="1"/>
  <c r="BW79" i="1"/>
  <c r="BU79" i="1"/>
  <c r="BK79" i="1"/>
  <c r="BI79" i="1"/>
  <c r="BC79" i="1"/>
  <c r="BA79" i="1"/>
  <c r="AS79" i="1"/>
  <c r="AQ79" i="1"/>
  <c r="AO79" i="1"/>
  <c r="AF79" i="1"/>
  <c r="T79" i="1"/>
  <c r="DM84" i="1"/>
  <c r="DM83" i="1"/>
  <c r="DM82" i="1"/>
  <c r="DK84" i="1"/>
  <c r="DK83" i="1"/>
  <c r="DK82" i="1"/>
  <c r="DI83" i="1"/>
  <c r="DI82" i="1"/>
  <c r="DF84" i="1"/>
  <c r="DF83" i="1"/>
  <c r="DF82" i="1"/>
  <c r="DD84" i="1"/>
  <c r="DD83" i="1"/>
  <c r="DD82" i="1"/>
  <c r="DB84" i="1"/>
  <c r="DB83" i="1"/>
  <c r="DB82" i="1"/>
  <c r="CZ84" i="1"/>
  <c r="CZ83" i="1"/>
  <c r="CZ82" i="1"/>
  <c r="CX84" i="1"/>
  <c r="CX83" i="1"/>
  <c r="CX82" i="1"/>
  <c r="CV84" i="1"/>
  <c r="CV83" i="1"/>
  <c r="CV82" i="1"/>
  <c r="CT84" i="1"/>
  <c r="CT83" i="1"/>
  <c r="CT82" i="1"/>
  <c r="CR84" i="1"/>
  <c r="CR83" i="1"/>
  <c r="CR82" i="1"/>
  <c r="CP84" i="1"/>
  <c r="CP83" i="1"/>
  <c r="CP82" i="1"/>
  <c r="CL84" i="1"/>
  <c r="CL83" i="1"/>
  <c r="CL82" i="1"/>
  <c r="CJ84" i="1"/>
  <c r="CJ83" i="1"/>
  <c r="CJ82" i="1"/>
  <c r="CH84" i="1"/>
  <c r="CH83" i="1"/>
  <c r="CH82" i="1"/>
  <c r="CE84" i="1"/>
  <c r="CE83" i="1"/>
  <c r="CE82" i="1"/>
  <c r="CC84" i="1"/>
  <c r="CC83" i="1"/>
  <c r="CC82" i="1"/>
  <c r="BZ84" i="1"/>
  <c r="BZ83" i="1"/>
  <c r="BZ82" i="1"/>
  <c r="BW84" i="1"/>
  <c r="BW83" i="1"/>
  <c r="BW82" i="1"/>
  <c r="BU84" i="1"/>
  <c r="BU83" i="1"/>
  <c r="BU82" i="1"/>
  <c r="BR84" i="1"/>
  <c r="BR83" i="1"/>
  <c r="BR82" i="1"/>
  <c r="BP84" i="1"/>
  <c r="BP83" i="1"/>
  <c r="BP82" i="1"/>
  <c r="BN84" i="1"/>
  <c r="BN83" i="1"/>
  <c r="BN82" i="1"/>
  <c r="BK84" i="1"/>
  <c r="BK83" i="1"/>
  <c r="BK82" i="1"/>
  <c r="BI84" i="1"/>
  <c r="BI83" i="1"/>
  <c r="BI82" i="1"/>
  <c r="BC84" i="1"/>
  <c r="BC83" i="1"/>
  <c r="BC82" i="1"/>
  <c r="BA84" i="1"/>
  <c r="BA83" i="1"/>
  <c r="BA82" i="1"/>
  <c r="AY84" i="1"/>
  <c r="AY83" i="1"/>
  <c r="AY82" i="1"/>
  <c r="AW84" i="1"/>
  <c r="AW83" i="1"/>
  <c r="AW82" i="1"/>
  <c r="AU84" i="1"/>
  <c r="AU83" i="1"/>
  <c r="AU82" i="1"/>
  <c r="AS84" i="1"/>
  <c r="AS83" i="1"/>
  <c r="AS82" i="1"/>
  <c r="AQ84" i="1"/>
  <c r="AQ83" i="1"/>
  <c r="AQ82" i="1"/>
  <c r="AO84" i="1"/>
  <c r="AO83" i="1"/>
  <c r="AO82" i="1"/>
  <c r="AL84" i="1"/>
  <c r="AL83" i="1"/>
  <c r="AL82" i="1"/>
  <c r="AJ84" i="1"/>
  <c r="AJ83" i="1"/>
  <c r="AJ82" i="1"/>
  <c r="AF84" i="1"/>
  <c r="AF83" i="1"/>
  <c r="AF82" i="1"/>
  <c r="AC84" i="1"/>
  <c r="AC83" i="1"/>
  <c r="AC82" i="1"/>
  <c r="AA84" i="1"/>
  <c r="AA83" i="1"/>
  <c r="AA82" i="1"/>
  <c r="X84" i="1"/>
  <c r="X83" i="1"/>
  <c r="X82" i="1"/>
  <c r="V84" i="1"/>
  <c r="V83" i="1"/>
  <c r="V82" i="1"/>
  <c r="T84" i="1"/>
  <c r="T83" i="1"/>
  <c r="T82" i="1"/>
  <c r="R84" i="1"/>
  <c r="R83" i="1"/>
  <c r="R82" i="1"/>
  <c r="P84" i="1"/>
  <c r="P83" i="1"/>
  <c r="P82" i="1"/>
  <c r="N84" i="1"/>
  <c r="N83" i="1"/>
  <c r="N82" i="1"/>
  <c r="DU79" i="1"/>
  <c r="DR79" i="1"/>
  <c r="DP79" i="1"/>
  <c r="DM79" i="1"/>
  <c r="DK79" i="1"/>
  <c r="DF79" i="1"/>
  <c r="DD79" i="1"/>
  <c r="DB79" i="1"/>
  <c r="CZ79" i="1"/>
  <c r="CX79" i="1"/>
  <c r="CV79" i="1"/>
  <c r="CT79" i="1"/>
  <c r="CR79" i="1"/>
  <c r="CJ79" i="1"/>
  <c r="BZ79" i="1"/>
  <c r="BR79" i="1"/>
  <c r="BP79" i="1"/>
  <c r="BN79" i="1"/>
  <c r="AY79" i="1"/>
  <c r="AW79" i="1"/>
  <c r="AU79" i="1"/>
  <c r="AJ79" i="1"/>
  <c r="AC79" i="1"/>
  <c r="AA79" i="1"/>
  <c r="X79" i="1"/>
  <c r="V79" i="1"/>
  <c r="R79" i="1"/>
  <c r="P79" i="1"/>
  <c r="N79" i="1"/>
  <c r="CP60" i="1"/>
  <c r="CP53" i="1"/>
  <c r="CP42" i="1"/>
  <c r="CL92" i="1"/>
  <c r="CL59" i="1"/>
  <c r="CL60" i="1"/>
  <c r="CL51" i="1"/>
  <c r="CL53" i="1"/>
  <c r="CL62" i="1"/>
  <c r="CJ60" i="1"/>
  <c r="CJ53" i="1"/>
  <c r="CJ62" i="1"/>
  <c r="CL37" i="1"/>
  <c r="CL38" i="1"/>
  <c r="CL42" i="1"/>
  <c r="CL29" i="1"/>
  <c r="CL30" i="1"/>
  <c r="CL32" i="1"/>
  <c r="CL33" i="1"/>
  <c r="CL43" i="1"/>
  <c r="CJ42" i="1"/>
  <c r="CJ33" i="1"/>
  <c r="CJ43" i="1"/>
  <c r="CL20" i="1"/>
  <c r="CJ7" i="1"/>
  <c r="CJ9" i="1"/>
  <c r="CJ15" i="1"/>
  <c r="CJ18" i="1"/>
  <c r="CJ20" i="1"/>
  <c r="CH20" i="1"/>
  <c r="CH48" i="1"/>
  <c r="CH49" i="1"/>
  <c r="CH53" i="1"/>
  <c r="CH56" i="1"/>
  <c r="CH59" i="1"/>
  <c r="CH38" i="1"/>
  <c r="CH32" i="1"/>
  <c r="CH30" i="1"/>
  <c r="CH29" i="1"/>
  <c r="CE92" i="1"/>
  <c r="CE51" i="1"/>
  <c r="CE38" i="1"/>
  <c r="CE27" i="1"/>
  <c r="CC92" i="1"/>
  <c r="CC59" i="1"/>
  <c r="CC27" i="1"/>
  <c r="CC38" i="1"/>
  <c r="BW59" i="1"/>
  <c r="BW58" i="1"/>
  <c r="BW38" i="1"/>
  <c r="BW32" i="1"/>
  <c r="BW30" i="1"/>
  <c r="BW33" i="1"/>
  <c r="BU92" i="1"/>
  <c r="BU59" i="1"/>
  <c r="BU51" i="1"/>
  <c r="BU32" i="1"/>
  <c r="BU30" i="1"/>
  <c r="BU38" i="1"/>
  <c r="BK92" i="1"/>
  <c r="BK59" i="1"/>
  <c r="BK38" i="1"/>
  <c r="BI92" i="1"/>
  <c r="BI59" i="1"/>
  <c r="BI38" i="1"/>
  <c r="BC51" i="1"/>
  <c r="BC38" i="1"/>
  <c r="BC29" i="1"/>
  <c r="BA92" i="1"/>
  <c r="BA59" i="1"/>
  <c r="BA38" i="1"/>
  <c r="BA32" i="1"/>
  <c r="AS92" i="1"/>
  <c r="AQ92" i="1"/>
  <c r="AQ59" i="1"/>
  <c r="AQ48" i="1"/>
  <c r="AQ53" i="1"/>
  <c r="AQ38" i="1"/>
  <c r="AQ30" i="1"/>
  <c r="AQ29" i="1"/>
  <c r="AO92" i="1"/>
  <c r="AO59" i="1"/>
  <c r="AO50" i="1"/>
  <c r="AO32" i="1"/>
  <c r="AL92" i="1"/>
  <c r="AL59" i="1"/>
  <c r="AF92" i="1"/>
  <c r="AF59" i="1"/>
  <c r="AF38" i="1"/>
  <c r="AF30" i="1"/>
  <c r="AF29" i="1"/>
  <c r="DI92" i="1"/>
  <c r="DI59" i="1"/>
  <c r="DI30" i="1"/>
  <c r="CH70" i="1"/>
  <c r="CH42" i="1"/>
  <c r="CH33" i="1"/>
  <c r="CH43" i="1"/>
  <c r="CH69" i="1"/>
  <c r="CH22" i="1"/>
  <c r="CH68" i="1"/>
  <c r="CH67" i="1"/>
  <c r="CH66" i="1"/>
  <c r="DU22" i="1"/>
  <c r="DU68" i="1"/>
  <c r="DR22" i="1"/>
  <c r="DR68" i="1"/>
  <c r="DP22" i="1"/>
  <c r="DP68" i="1"/>
  <c r="DM22" i="1"/>
  <c r="DM68" i="1"/>
  <c r="DK22" i="1"/>
  <c r="DK68" i="1"/>
  <c r="DF7" i="1"/>
  <c r="DF9" i="1"/>
  <c r="DF15" i="1"/>
  <c r="DF18" i="1"/>
  <c r="DF20" i="1"/>
  <c r="DF22" i="1"/>
  <c r="DF68" i="1"/>
  <c r="DD7" i="1"/>
  <c r="DD9" i="1"/>
  <c r="DD15" i="1"/>
  <c r="DD18" i="1"/>
  <c r="DD20" i="1"/>
  <c r="DD22" i="1"/>
  <c r="DD68" i="1"/>
  <c r="DB7" i="1"/>
  <c r="DB9" i="1"/>
  <c r="DB15" i="1"/>
  <c r="DB18" i="1"/>
  <c r="DB20" i="1"/>
  <c r="DB22" i="1"/>
  <c r="DB68" i="1"/>
  <c r="CZ7" i="1"/>
  <c r="CZ9" i="1"/>
  <c r="CZ15" i="1"/>
  <c r="CZ18" i="1"/>
  <c r="CZ20" i="1"/>
  <c r="CZ22" i="1"/>
  <c r="CZ68" i="1"/>
  <c r="CX7" i="1"/>
  <c r="CX9" i="1"/>
  <c r="CX15" i="1"/>
  <c r="CX18" i="1"/>
  <c r="CX20" i="1"/>
  <c r="CX22" i="1"/>
  <c r="CX68" i="1"/>
  <c r="CV7" i="1"/>
  <c r="CV9" i="1"/>
  <c r="CV15" i="1"/>
  <c r="CV18" i="1"/>
  <c r="CV20" i="1"/>
  <c r="CV22" i="1"/>
  <c r="CV68" i="1"/>
  <c r="CT7" i="1"/>
  <c r="CT9" i="1"/>
  <c r="CT15" i="1"/>
  <c r="CT18" i="1"/>
  <c r="CT20" i="1"/>
  <c r="CT22" i="1"/>
  <c r="CT68" i="1"/>
  <c r="CR7" i="1"/>
  <c r="CR9" i="1"/>
  <c r="CR15" i="1"/>
  <c r="CR18" i="1"/>
  <c r="CR20" i="1"/>
  <c r="CR22" i="1"/>
  <c r="CR68" i="1"/>
  <c r="CP20" i="1"/>
  <c r="CP22" i="1"/>
  <c r="CP68" i="1"/>
  <c r="CL22" i="1"/>
  <c r="CL68" i="1"/>
  <c r="CJ22" i="1"/>
  <c r="CJ68" i="1"/>
  <c r="CE20" i="1"/>
  <c r="CE22" i="1"/>
  <c r="CE68" i="1"/>
  <c r="CC20" i="1"/>
  <c r="CC22" i="1"/>
  <c r="CC68" i="1"/>
  <c r="BZ7" i="1"/>
  <c r="BZ9" i="1"/>
  <c r="BZ15" i="1"/>
  <c r="BZ18" i="1"/>
  <c r="BZ20" i="1"/>
  <c r="BZ22" i="1"/>
  <c r="BZ68" i="1"/>
  <c r="BW20" i="1"/>
  <c r="BW22" i="1"/>
  <c r="BW68" i="1"/>
  <c r="BU20" i="1"/>
  <c r="BU22" i="1"/>
  <c r="BU68" i="1"/>
  <c r="BR7" i="1"/>
  <c r="BR9" i="1"/>
  <c r="BR15" i="1"/>
  <c r="BR18" i="1"/>
  <c r="BR20" i="1"/>
  <c r="BR22" i="1"/>
  <c r="BR68" i="1"/>
  <c r="BP7" i="1"/>
  <c r="BP9" i="1"/>
  <c r="BP15" i="1"/>
  <c r="BP18" i="1"/>
  <c r="BP20" i="1"/>
  <c r="BP22" i="1"/>
  <c r="BP68" i="1"/>
  <c r="BN7" i="1"/>
  <c r="BN9" i="1"/>
  <c r="BN15" i="1"/>
  <c r="BN16" i="1"/>
  <c r="BN18" i="1"/>
  <c r="BN20" i="1"/>
  <c r="BN22" i="1"/>
  <c r="BN68" i="1"/>
  <c r="BK20" i="1"/>
  <c r="BK22" i="1"/>
  <c r="BK68" i="1"/>
  <c r="BI20" i="1"/>
  <c r="BI22" i="1"/>
  <c r="BI68" i="1"/>
  <c r="BC20" i="1"/>
  <c r="BC22" i="1"/>
  <c r="BC68" i="1"/>
  <c r="BA20" i="1"/>
  <c r="BA22" i="1"/>
  <c r="BA68" i="1"/>
  <c r="AY7" i="1"/>
  <c r="AY9" i="1"/>
  <c r="AY15" i="1"/>
  <c r="AY18" i="1"/>
  <c r="AY20" i="1"/>
  <c r="AY22" i="1"/>
  <c r="AY68" i="1"/>
  <c r="AW7" i="1"/>
  <c r="AW9" i="1"/>
  <c r="AW15" i="1"/>
  <c r="AW18" i="1"/>
  <c r="AW20" i="1"/>
  <c r="AW22" i="1"/>
  <c r="AW68" i="1"/>
  <c r="AU7" i="1"/>
  <c r="AU9" i="1"/>
  <c r="AU15" i="1"/>
  <c r="AU18" i="1"/>
  <c r="AU20" i="1"/>
  <c r="AU22" i="1"/>
  <c r="AU68" i="1"/>
  <c r="AS20" i="1"/>
  <c r="AS22" i="1"/>
  <c r="AS68" i="1"/>
  <c r="AQ68" i="1"/>
  <c r="AO20" i="1"/>
  <c r="AO22" i="1"/>
  <c r="AO68" i="1"/>
  <c r="AJ7" i="1"/>
  <c r="AJ9" i="1"/>
  <c r="AJ15" i="1"/>
  <c r="AJ18" i="1"/>
  <c r="AJ20" i="1"/>
  <c r="AJ22" i="1"/>
  <c r="AJ68" i="1"/>
  <c r="AF20" i="1"/>
  <c r="AF22" i="1"/>
  <c r="AF68" i="1"/>
  <c r="AC7" i="1"/>
  <c r="AC9" i="1"/>
  <c r="AC15" i="1"/>
  <c r="AC18" i="1"/>
  <c r="AC20" i="1"/>
  <c r="AC22" i="1"/>
  <c r="AC68" i="1"/>
  <c r="AA7" i="1"/>
  <c r="AA9" i="1"/>
  <c r="AA15" i="1"/>
  <c r="AA18" i="1"/>
  <c r="AA20" i="1"/>
  <c r="AA22" i="1"/>
  <c r="AA68" i="1"/>
  <c r="DI20" i="1"/>
  <c r="DI22" i="1"/>
  <c r="DI68" i="1"/>
  <c r="X7" i="1"/>
  <c r="X9" i="1"/>
  <c r="X12" i="1"/>
  <c r="X15" i="1"/>
  <c r="X16" i="1"/>
  <c r="X18" i="1"/>
  <c r="X20" i="1"/>
  <c r="X22" i="1"/>
  <c r="X68" i="1"/>
  <c r="V7" i="1"/>
  <c r="V9" i="1"/>
  <c r="V12" i="1"/>
  <c r="V15" i="1"/>
  <c r="V16" i="1"/>
  <c r="V18" i="1"/>
  <c r="V20" i="1"/>
  <c r="V22" i="1"/>
  <c r="V68" i="1"/>
  <c r="T20" i="1"/>
  <c r="T22" i="1"/>
  <c r="T68" i="1"/>
  <c r="R7" i="1"/>
  <c r="R9" i="1"/>
  <c r="R15" i="1"/>
  <c r="R16" i="1"/>
  <c r="R17" i="1"/>
  <c r="R18" i="1"/>
  <c r="R20" i="1"/>
  <c r="R22" i="1"/>
  <c r="R68" i="1"/>
  <c r="P7" i="1"/>
  <c r="P9" i="1"/>
  <c r="P13" i="1"/>
  <c r="P14" i="1"/>
  <c r="P15" i="1"/>
  <c r="P16" i="1"/>
  <c r="P18" i="1"/>
  <c r="P20" i="1"/>
  <c r="P22" i="1"/>
  <c r="P68" i="1"/>
  <c r="N7" i="1"/>
  <c r="N9" i="1"/>
  <c r="N12" i="1"/>
  <c r="N15" i="1"/>
  <c r="N16" i="1"/>
  <c r="N18" i="1"/>
  <c r="N20" i="1"/>
  <c r="N22" i="1"/>
  <c r="N68" i="1"/>
  <c r="X92" i="1"/>
  <c r="X38" i="1"/>
  <c r="V92" i="1"/>
  <c r="V59" i="1"/>
  <c r="V38" i="1"/>
  <c r="V30" i="1"/>
  <c r="T92" i="1"/>
  <c r="T32" i="1"/>
  <c r="R59" i="1"/>
  <c r="R38" i="1"/>
  <c r="R29" i="1"/>
  <c r="P92" i="1"/>
  <c r="P51" i="1"/>
  <c r="P59" i="1"/>
  <c r="DU7" i="1"/>
  <c r="DU9" i="1"/>
  <c r="DU15" i="1"/>
  <c r="DR7" i="1"/>
  <c r="DR9" i="1"/>
  <c r="DR15" i="1"/>
  <c r="DP7" i="1"/>
  <c r="DP9" i="1"/>
  <c r="DP15" i="1"/>
  <c r="DM7" i="1"/>
  <c r="DM9" i="1"/>
  <c r="DM15" i="1"/>
  <c r="DK7" i="1"/>
  <c r="DK9" i="1"/>
  <c r="DK15" i="1"/>
  <c r="DU60" i="1"/>
  <c r="DR60" i="1"/>
  <c r="DP60" i="1"/>
  <c r="DM60" i="1"/>
  <c r="DK60" i="1"/>
  <c r="DF60" i="1"/>
  <c r="DD60" i="1"/>
  <c r="DB60" i="1"/>
  <c r="CZ60" i="1"/>
  <c r="CX60" i="1"/>
  <c r="CV60" i="1"/>
  <c r="CT60" i="1"/>
  <c r="CR60" i="1"/>
  <c r="CH60" i="1"/>
  <c r="CE60" i="1"/>
  <c r="CC60" i="1"/>
  <c r="BZ60" i="1"/>
  <c r="BW60" i="1"/>
  <c r="BU60" i="1"/>
  <c r="BR60" i="1"/>
  <c r="BP60" i="1"/>
  <c r="BN60" i="1"/>
  <c r="BK60" i="1"/>
  <c r="BI60" i="1"/>
  <c r="BC60" i="1"/>
  <c r="BA60" i="1"/>
  <c r="AY60" i="1"/>
  <c r="AW60" i="1"/>
  <c r="AU60" i="1"/>
  <c r="AS60" i="1"/>
  <c r="AQ60" i="1"/>
  <c r="AO60" i="1"/>
  <c r="AL60" i="1"/>
  <c r="AJ60" i="1"/>
  <c r="AF60" i="1"/>
  <c r="AC60" i="1"/>
  <c r="AA60" i="1"/>
  <c r="DI60" i="1"/>
  <c r="X60" i="1"/>
  <c r="V60" i="1"/>
  <c r="T60" i="1"/>
  <c r="R60" i="1"/>
  <c r="P60" i="1"/>
  <c r="N59" i="1"/>
  <c r="N60" i="1"/>
  <c r="N38" i="1"/>
  <c r="DV22" i="1"/>
  <c r="DS22" i="1"/>
  <c r="DQ22" i="1"/>
  <c r="DN22" i="1"/>
  <c r="DL22" i="1"/>
  <c r="DG22" i="1"/>
  <c r="DE22" i="1"/>
  <c r="DC22" i="1"/>
  <c r="DA22" i="1"/>
  <c r="CY22" i="1"/>
  <c r="CW22" i="1"/>
  <c r="CU22" i="1"/>
  <c r="CS22" i="1"/>
  <c r="CQ22" i="1"/>
  <c r="CM22" i="1"/>
  <c r="CK22" i="1"/>
  <c r="CI22" i="1"/>
  <c r="CF22" i="1"/>
  <c r="CD22" i="1"/>
  <c r="CA22" i="1"/>
  <c r="BX22" i="1"/>
  <c r="BV22" i="1"/>
  <c r="BS22" i="1"/>
  <c r="BQ22" i="1"/>
  <c r="BO22" i="1"/>
  <c r="BL22" i="1"/>
  <c r="BJ22" i="1"/>
  <c r="BD22" i="1"/>
  <c r="BB22" i="1"/>
  <c r="AZ22" i="1"/>
  <c r="AX22" i="1"/>
  <c r="AV22" i="1"/>
  <c r="AT22" i="1"/>
  <c r="AR22" i="1"/>
  <c r="AP22" i="1"/>
  <c r="AK22" i="1"/>
  <c r="AG22" i="1"/>
  <c r="AD22" i="1"/>
  <c r="AB22" i="1"/>
  <c r="DJ22" i="1"/>
  <c r="Y22" i="1"/>
  <c r="W22" i="1"/>
  <c r="U22" i="1"/>
  <c r="S22" i="1"/>
  <c r="Q22" i="1"/>
  <c r="O22" i="1"/>
  <c r="I51" i="1"/>
  <c r="I38" i="1"/>
  <c r="I7" i="1"/>
  <c r="I9" i="1"/>
  <c r="F7" i="1"/>
  <c r="F9" i="1"/>
  <c r="F51" i="1"/>
  <c r="F48" i="1"/>
  <c r="F50" i="1"/>
  <c r="F32" i="1"/>
  <c r="F38" i="1"/>
  <c r="D7" i="1"/>
  <c r="D9" i="1"/>
  <c r="D38" i="1"/>
  <c r="N32" i="1"/>
  <c r="N33" i="1"/>
  <c r="I84" i="1"/>
  <c r="I83" i="1"/>
  <c r="I82" i="1"/>
  <c r="I79" i="1"/>
  <c r="I76" i="1"/>
  <c r="I12" i="1"/>
  <c r="I15" i="1"/>
  <c r="I18" i="1"/>
  <c r="I20" i="1"/>
  <c r="I22" i="1"/>
  <c r="I68" i="1"/>
  <c r="I59" i="1"/>
  <c r="I60" i="1"/>
  <c r="I53" i="1"/>
  <c r="I32" i="1"/>
  <c r="J22" i="1"/>
  <c r="F15" i="1"/>
  <c r="F18" i="1"/>
  <c r="F20" i="1"/>
  <c r="F22" i="1"/>
  <c r="G22" i="1"/>
  <c r="F84" i="1"/>
  <c r="F83" i="1"/>
  <c r="D83" i="1"/>
  <c r="F82" i="1"/>
  <c r="F86" i="1"/>
  <c r="F79" i="1"/>
  <c r="F76" i="1"/>
  <c r="F68" i="1"/>
  <c r="F60" i="1"/>
  <c r="D84" i="1"/>
  <c r="D82" i="1"/>
  <c r="D33" i="1"/>
  <c r="D75" i="1"/>
  <c r="I33" i="1"/>
  <c r="I75" i="1"/>
  <c r="D14" i="1"/>
  <c r="D15" i="1"/>
  <c r="D16" i="1"/>
  <c r="D18" i="1"/>
  <c r="D20" i="1"/>
  <c r="D22" i="1"/>
  <c r="D60" i="1"/>
  <c r="D70" i="1"/>
  <c r="D42" i="1"/>
  <c r="E22" i="1"/>
  <c r="CE91" i="1"/>
  <c r="CE90" i="1"/>
  <c r="CE42" i="1"/>
  <c r="CE33" i="1"/>
  <c r="CE43" i="1"/>
  <c r="CE89" i="1"/>
  <c r="CE85" i="1"/>
  <c r="CE53" i="1"/>
  <c r="CE73" i="1"/>
  <c r="CE72" i="1"/>
  <c r="CE78" i="1"/>
  <c r="CE77" i="1"/>
  <c r="CE75" i="1"/>
  <c r="CE62" i="1"/>
  <c r="AL91" i="1"/>
  <c r="AL90" i="1"/>
  <c r="AL42" i="1"/>
  <c r="AL33" i="1"/>
  <c r="AL43" i="1"/>
  <c r="AL89" i="1"/>
  <c r="AL85" i="1"/>
  <c r="AL53" i="1"/>
  <c r="AL73" i="1"/>
  <c r="AL72" i="1"/>
  <c r="AL78" i="1"/>
  <c r="AL77" i="1"/>
  <c r="AL75" i="1"/>
  <c r="AL62" i="1"/>
  <c r="AJ91" i="1"/>
  <c r="AJ90" i="1"/>
  <c r="AJ42" i="1"/>
  <c r="AJ33" i="1"/>
  <c r="AJ43" i="1"/>
  <c r="AJ89" i="1"/>
  <c r="AJ85" i="1"/>
  <c r="AJ53" i="1"/>
  <c r="AJ73" i="1"/>
  <c r="AJ72" i="1"/>
  <c r="AJ78" i="1"/>
  <c r="AJ77" i="1"/>
  <c r="AJ75" i="1"/>
  <c r="AJ62" i="1"/>
  <c r="F91" i="1"/>
  <c r="F90" i="1"/>
  <c r="F42" i="1"/>
  <c r="F33" i="1"/>
  <c r="F43" i="1"/>
  <c r="F89" i="1"/>
  <c r="F85" i="1"/>
  <c r="F53" i="1"/>
  <c r="F73" i="1"/>
  <c r="F72" i="1"/>
  <c r="F78" i="1"/>
  <c r="F77" i="1"/>
  <c r="F75" i="1"/>
  <c r="F62" i="1"/>
  <c r="CJ91" i="1"/>
  <c r="CJ90" i="1"/>
  <c r="CJ89" i="1"/>
  <c r="CJ85" i="1"/>
  <c r="CJ73" i="1"/>
  <c r="CJ72" i="1"/>
  <c r="CJ78" i="1"/>
  <c r="CJ77" i="1"/>
  <c r="CJ75" i="1"/>
  <c r="DF91" i="1"/>
  <c r="DF90" i="1"/>
  <c r="DF42" i="1"/>
  <c r="DF33" i="1"/>
  <c r="DF43" i="1"/>
  <c r="DF89" i="1"/>
  <c r="DF85" i="1"/>
  <c r="DF53" i="1"/>
  <c r="DF73" i="1"/>
  <c r="DF72" i="1"/>
  <c r="DF78" i="1"/>
  <c r="DF77" i="1"/>
  <c r="DF75" i="1"/>
  <c r="DF62" i="1"/>
  <c r="DD91" i="1"/>
  <c r="DD90" i="1"/>
  <c r="DD42" i="1"/>
  <c r="DD33" i="1"/>
  <c r="DD43" i="1"/>
  <c r="DD89" i="1"/>
  <c r="DD85" i="1"/>
  <c r="DD53" i="1"/>
  <c r="DD73" i="1"/>
  <c r="DD72" i="1"/>
  <c r="DD78" i="1"/>
  <c r="DD77" i="1"/>
  <c r="DD75" i="1"/>
  <c r="DD62" i="1"/>
  <c r="DB91" i="1"/>
  <c r="DB90" i="1"/>
  <c r="DB42" i="1"/>
  <c r="DB33" i="1"/>
  <c r="DB43" i="1"/>
  <c r="DB89" i="1"/>
  <c r="DB85" i="1"/>
  <c r="DB53" i="1"/>
  <c r="DB73" i="1"/>
  <c r="DB72" i="1"/>
  <c r="DB78" i="1"/>
  <c r="DB77" i="1"/>
  <c r="DB75" i="1"/>
  <c r="DB62" i="1"/>
  <c r="CZ91" i="1"/>
  <c r="CZ90" i="1"/>
  <c r="CZ42" i="1"/>
  <c r="CZ33" i="1"/>
  <c r="CZ43" i="1"/>
  <c r="CZ89" i="1"/>
  <c r="CZ85" i="1"/>
  <c r="CZ53" i="1"/>
  <c r="CZ73" i="1"/>
  <c r="CZ72" i="1"/>
  <c r="CZ78" i="1"/>
  <c r="CZ77" i="1"/>
  <c r="CZ75" i="1"/>
  <c r="CZ62" i="1"/>
  <c r="CX91" i="1"/>
  <c r="CX90" i="1"/>
  <c r="CX42" i="1"/>
  <c r="CX33" i="1"/>
  <c r="CX43" i="1"/>
  <c r="CX89" i="1"/>
  <c r="CX85" i="1"/>
  <c r="CX53" i="1"/>
  <c r="CX73" i="1"/>
  <c r="CX72" i="1"/>
  <c r="CX78" i="1"/>
  <c r="CX77" i="1"/>
  <c r="CX75" i="1"/>
  <c r="CX62" i="1"/>
  <c r="CV91" i="1"/>
  <c r="CV90" i="1"/>
  <c r="CV42" i="1"/>
  <c r="CV33" i="1"/>
  <c r="CV43" i="1"/>
  <c r="CV89" i="1"/>
  <c r="CV85" i="1"/>
  <c r="CV53" i="1"/>
  <c r="CV73" i="1"/>
  <c r="CV72" i="1"/>
  <c r="CV78" i="1"/>
  <c r="CV77" i="1"/>
  <c r="CV75" i="1"/>
  <c r="CV62" i="1"/>
  <c r="CT91" i="1"/>
  <c r="CT90" i="1"/>
  <c r="CT42" i="1"/>
  <c r="CT33" i="1"/>
  <c r="CT43" i="1"/>
  <c r="CT89" i="1"/>
  <c r="CT85" i="1"/>
  <c r="CT53" i="1"/>
  <c r="CT73" i="1"/>
  <c r="CT72" i="1"/>
  <c r="CT78" i="1"/>
  <c r="CT77" i="1"/>
  <c r="CT75" i="1"/>
  <c r="CT62" i="1"/>
  <c r="BA91" i="1"/>
  <c r="BA90" i="1"/>
  <c r="BA42" i="1"/>
  <c r="BA33" i="1"/>
  <c r="BA43" i="1"/>
  <c r="BA89" i="1"/>
  <c r="BA85" i="1"/>
  <c r="BA53" i="1"/>
  <c r="BA73" i="1"/>
  <c r="BA72" i="1"/>
  <c r="BA78" i="1"/>
  <c r="BA77" i="1"/>
  <c r="BA75" i="1"/>
  <c r="BA62" i="1"/>
  <c r="AY91" i="1"/>
  <c r="AY90" i="1"/>
  <c r="AY42" i="1"/>
  <c r="AY33" i="1"/>
  <c r="AY43" i="1"/>
  <c r="AY89" i="1"/>
  <c r="AY85" i="1"/>
  <c r="AY53" i="1"/>
  <c r="AY73" i="1"/>
  <c r="AY72" i="1"/>
  <c r="AY78" i="1"/>
  <c r="AY77" i="1"/>
  <c r="AY75" i="1"/>
  <c r="AY62" i="1"/>
  <c r="AW91" i="1"/>
  <c r="AW90" i="1"/>
  <c r="AW42" i="1"/>
  <c r="AW33" i="1"/>
  <c r="AW43" i="1"/>
  <c r="AW89" i="1"/>
  <c r="AW85" i="1"/>
  <c r="AW53" i="1"/>
  <c r="AW73" i="1"/>
  <c r="AW72" i="1"/>
  <c r="AW78" i="1"/>
  <c r="AW77" i="1"/>
  <c r="AW75" i="1"/>
  <c r="AW62" i="1"/>
  <c r="V91" i="1"/>
  <c r="V90" i="1"/>
  <c r="V42" i="1"/>
  <c r="V33" i="1"/>
  <c r="V43" i="1"/>
  <c r="V89" i="1"/>
  <c r="V85" i="1"/>
  <c r="V53" i="1"/>
  <c r="V73" i="1"/>
  <c r="V72" i="1"/>
  <c r="V78" i="1"/>
  <c r="V77" i="1"/>
  <c r="V75" i="1"/>
  <c r="V62" i="1"/>
  <c r="CR42" i="1"/>
  <c r="CR33" i="1"/>
  <c r="CR43" i="1"/>
  <c r="CP43" i="1"/>
  <c r="CC42" i="1"/>
  <c r="CC33" i="1"/>
  <c r="CC43" i="1"/>
  <c r="BZ42" i="1"/>
  <c r="BZ33" i="1"/>
  <c r="BZ43" i="1"/>
  <c r="BW42" i="1"/>
  <c r="BW43" i="1"/>
  <c r="BU42" i="1"/>
  <c r="BU33" i="1"/>
  <c r="BU43" i="1"/>
  <c r="BR42" i="1"/>
  <c r="BR33" i="1"/>
  <c r="BR43" i="1"/>
  <c r="BP42" i="1"/>
  <c r="BP33" i="1"/>
  <c r="BP43" i="1"/>
  <c r="BN42" i="1"/>
  <c r="BN33" i="1"/>
  <c r="BN43" i="1"/>
  <c r="BK42" i="1"/>
  <c r="BK33" i="1"/>
  <c r="BK43" i="1"/>
  <c r="BI42" i="1"/>
  <c r="BI33" i="1"/>
  <c r="BI43" i="1"/>
  <c r="BC42" i="1"/>
  <c r="BC33" i="1"/>
  <c r="BC43" i="1"/>
  <c r="AU42" i="1"/>
  <c r="AU33" i="1"/>
  <c r="AU43" i="1"/>
  <c r="AS42" i="1"/>
  <c r="AS33" i="1"/>
  <c r="AS43" i="1"/>
  <c r="AQ42" i="1"/>
  <c r="AQ33" i="1"/>
  <c r="AQ43" i="1"/>
  <c r="AO42" i="1"/>
  <c r="AO33" i="1"/>
  <c r="AO43" i="1"/>
  <c r="AF42" i="1"/>
  <c r="AF33" i="1"/>
  <c r="AF43" i="1"/>
  <c r="AC42" i="1"/>
  <c r="AC33" i="1"/>
  <c r="AC43" i="1"/>
  <c r="AA42" i="1"/>
  <c r="AA33" i="1"/>
  <c r="AA43" i="1"/>
  <c r="DI42" i="1"/>
  <c r="DI33" i="1"/>
  <c r="DI43" i="1"/>
  <c r="X42" i="1"/>
  <c r="X33" i="1"/>
  <c r="X43" i="1"/>
  <c r="T42" i="1"/>
  <c r="T33" i="1"/>
  <c r="T43" i="1"/>
  <c r="R42" i="1"/>
  <c r="R33" i="1"/>
  <c r="R43" i="1"/>
  <c r="P42" i="1"/>
  <c r="P33" i="1"/>
  <c r="P43" i="1"/>
  <c r="N42" i="1"/>
  <c r="N43" i="1"/>
  <c r="I42" i="1"/>
  <c r="I43" i="1"/>
  <c r="CR90" i="1"/>
  <c r="CR89" i="1"/>
  <c r="CP90" i="1"/>
  <c r="CP89" i="1"/>
  <c r="CC90" i="1"/>
  <c r="CC89" i="1"/>
  <c r="BZ90" i="1"/>
  <c r="BZ89" i="1"/>
  <c r="BW90" i="1"/>
  <c r="BW89" i="1"/>
  <c r="BU90" i="1"/>
  <c r="BU89" i="1"/>
  <c r="BR90" i="1"/>
  <c r="BR89" i="1"/>
  <c r="BP90" i="1"/>
  <c r="BP89" i="1"/>
  <c r="BN90" i="1"/>
  <c r="BN89" i="1"/>
  <c r="BK90" i="1"/>
  <c r="BK89" i="1"/>
  <c r="BI90" i="1"/>
  <c r="BI89" i="1"/>
  <c r="BC90" i="1"/>
  <c r="BC89" i="1"/>
  <c r="AU90" i="1"/>
  <c r="AU89" i="1"/>
  <c r="AS90" i="1"/>
  <c r="AS89" i="1"/>
  <c r="AQ90" i="1"/>
  <c r="AQ89" i="1"/>
  <c r="AO90" i="1"/>
  <c r="AO89" i="1"/>
  <c r="AF90" i="1"/>
  <c r="AF89" i="1"/>
  <c r="AC90" i="1"/>
  <c r="AC89" i="1"/>
  <c r="AA90" i="1"/>
  <c r="AA89" i="1"/>
  <c r="DI90" i="1"/>
  <c r="DI89" i="1"/>
  <c r="X90" i="1"/>
  <c r="X89" i="1"/>
  <c r="T90" i="1"/>
  <c r="T89" i="1"/>
  <c r="R90" i="1"/>
  <c r="R89" i="1"/>
  <c r="P90" i="1"/>
  <c r="P89" i="1"/>
  <c r="N90" i="1"/>
  <c r="N89" i="1"/>
  <c r="I90" i="1"/>
  <c r="I89" i="1"/>
  <c r="D90" i="1"/>
  <c r="D43" i="1"/>
  <c r="D89" i="1"/>
  <c r="I77" i="1"/>
  <c r="CR85" i="1"/>
  <c r="CP85" i="1"/>
  <c r="CC85" i="1"/>
  <c r="BZ85" i="1"/>
  <c r="BW85" i="1"/>
  <c r="BU85" i="1"/>
  <c r="BR85" i="1"/>
  <c r="BP85" i="1"/>
  <c r="BN85" i="1"/>
  <c r="BK85" i="1"/>
  <c r="BI85" i="1"/>
  <c r="BC85" i="1"/>
  <c r="AU85" i="1"/>
  <c r="AS85" i="1"/>
  <c r="AQ85" i="1"/>
  <c r="AO85" i="1"/>
  <c r="AF85" i="1"/>
  <c r="AC85" i="1"/>
  <c r="AA85" i="1"/>
  <c r="DI85" i="1"/>
  <c r="X85" i="1"/>
  <c r="T85" i="1"/>
  <c r="R85" i="1"/>
  <c r="P85" i="1"/>
  <c r="N85" i="1"/>
  <c r="I85" i="1"/>
  <c r="CR75" i="1"/>
  <c r="CP75" i="1"/>
  <c r="CC75" i="1"/>
  <c r="BZ75" i="1"/>
  <c r="BW75" i="1"/>
  <c r="BU75" i="1"/>
  <c r="BR75" i="1"/>
  <c r="BP75" i="1"/>
  <c r="BN75" i="1"/>
  <c r="BK75" i="1"/>
  <c r="BI75" i="1"/>
  <c r="BC75" i="1"/>
  <c r="AQ75" i="1"/>
  <c r="AS75" i="1"/>
  <c r="AU75" i="1"/>
  <c r="AO75" i="1"/>
  <c r="AF75" i="1"/>
  <c r="AC75" i="1"/>
  <c r="AA75" i="1"/>
  <c r="DI75" i="1"/>
  <c r="X75" i="1"/>
  <c r="T75" i="1"/>
  <c r="R75" i="1"/>
  <c r="P75" i="1"/>
  <c r="N75" i="1"/>
  <c r="CR78" i="1"/>
  <c r="CP78" i="1"/>
  <c r="CC78" i="1"/>
  <c r="BZ78" i="1"/>
  <c r="BW78" i="1"/>
  <c r="BU78" i="1"/>
  <c r="BR78" i="1"/>
  <c r="BP78" i="1"/>
  <c r="BN78" i="1"/>
  <c r="BK78" i="1"/>
  <c r="BI78" i="1"/>
  <c r="BC78" i="1"/>
  <c r="AU78" i="1"/>
  <c r="AS78" i="1"/>
  <c r="AQ78" i="1"/>
  <c r="AO78" i="1"/>
  <c r="AF78" i="1"/>
  <c r="AC78" i="1"/>
  <c r="AA78" i="1"/>
  <c r="DI78" i="1"/>
  <c r="X78" i="1"/>
  <c r="T78" i="1"/>
  <c r="R78" i="1"/>
  <c r="P78" i="1"/>
  <c r="N78" i="1"/>
  <c r="I78" i="1"/>
  <c r="D78" i="1"/>
  <c r="D85" i="1"/>
  <c r="CR53" i="1"/>
  <c r="CC53" i="1"/>
  <c r="BZ53" i="1"/>
  <c r="BW53" i="1"/>
  <c r="BU53" i="1"/>
  <c r="BR53" i="1"/>
  <c r="BP53" i="1"/>
  <c r="BN53" i="1"/>
  <c r="BK53" i="1"/>
  <c r="BI53" i="1"/>
  <c r="BC53" i="1"/>
  <c r="AU53" i="1"/>
  <c r="AS53" i="1"/>
  <c r="AO53" i="1"/>
  <c r="AF53" i="1"/>
  <c r="AC53" i="1"/>
  <c r="AA53" i="1"/>
  <c r="DI53" i="1"/>
  <c r="X53" i="1"/>
  <c r="T53" i="1"/>
  <c r="R53" i="1"/>
  <c r="P53" i="1"/>
  <c r="N53" i="1"/>
  <c r="D53" i="1"/>
  <c r="CR91" i="1"/>
  <c r="CR77" i="1"/>
  <c r="CR73" i="1"/>
  <c r="CR72" i="1"/>
  <c r="CR62" i="1"/>
  <c r="CP91" i="1"/>
  <c r="CP77" i="1"/>
  <c r="CP73" i="1"/>
  <c r="CP72" i="1"/>
  <c r="CP62" i="1"/>
  <c r="AU91" i="1"/>
  <c r="AU77" i="1"/>
  <c r="AU73" i="1"/>
  <c r="AU72" i="1"/>
  <c r="AU62" i="1"/>
  <c r="AO91" i="1"/>
  <c r="AO77" i="1"/>
  <c r="AO73" i="1"/>
  <c r="AO72" i="1"/>
  <c r="AO62" i="1"/>
  <c r="BW91" i="1"/>
  <c r="BW77" i="1"/>
  <c r="BW73" i="1"/>
  <c r="BW72" i="1"/>
  <c r="BW62" i="1"/>
  <c r="BP62" i="1"/>
  <c r="BP91" i="1"/>
  <c r="BP77" i="1"/>
  <c r="BP73" i="1"/>
  <c r="BP72" i="1"/>
  <c r="BF9" i="1"/>
  <c r="BF15" i="1"/>
  <c r="BF18" i="1"/>
  <c r="AH9" i="1"/>
  <c r="AH15" i="1"/>
  <c r="AH18" i="1"/>
  <c r="K9" i="1"/>
  <c r="K15" i="1"/>
  <c r="K18" i="1"/>
  <c r="CH90" i="1"/>
  <c r="CH89" i="1"/>
  <c r="CH91" i="1"/>
  <c r="CH75" i="1"/>
  <c r="CH78" i="1"/>
  <c r="CH77" i="1"/>
  <c r="CH85" i="1"/>
  <c r="CH73" i="1"/>
  <c r="CH72" i="1"/>
  <c r="CH62" i="1"/>
  <c r="CI20" i="1"/>
  <c r="CI18" i="1"/>
  <c r="CI15" i="1"/>
  <c r="CI9" i="1"/>
  <c r="CC91" i="1"/>
  <c r="CC77" i="1"/>
  <c r="CC73" i="1"/>
  <c r="CC72" i="1"/>
  <c r="CC62" i="1"/>
  <c r="BZ91" i="1"/>
  <c r="BZ77" i="1"/>
  <c r="BZ73" i="1"/>
  <c r="BZ72" i="1"/>
  <c r="BZ62" i="1"/>
  <c r="BU77" i="1"/>
  <c r="BU73" i="1"/>
  <c r="BU72" i="1"/>
  <c r="BU62" i="1"/>
  <c r="BR91" i="1"/>
  <c r="BR77" i="1"/>
  <c r="BR73" i="1"/>
  <c r="BR72" i="1"/>
  <c r="BR62" i="1"/>
  <c r="BF90" i="1"/>
  <c r="AH90" i="1"/>
  <c r="K90" i="1"/>
  <c r="B90" i="1"/>
  <c r="BF42" i="1"/>
  <c r="BF33" i="1"/>
  <c r="BF43" i="1"/>
  <c r="BF89" i="1"/>
  <c r="AH42" i="1"/>
  <c r="AH33" i="1"/>
  <c r="AH43" i="1"/>
  <c r="AH89" i="1"/>
  <c r="K42" i="1"/>
  <c r="K33" i="1"/>
  <c r="K43" i="1"/>
  <c r="K89" i="1"/>
  <c r="B42" i="1"/>
  <c r="B33" i="1"/>
  <c r="B43" i="1"/>
  <c r="B89" i="1"/>
  <c r="BN91" i="1"/>
  <c r="BN77" i="1"/>
  <c r="BN73" i="1"/>
  <c r="BN72" i="1"/>
  <c r="BN62" i="1"/>
  <c r="BK77" i="1"/>
  <c r="BK73" i="1"/>
  <c r="BK72" i="1"/>
  <c r="BK62" i="1"/>
  <c r="BI91" i="1"/>
  <c r="BI77" i="1"/>
  <c r="BI73" i="1"/>
  <c r="BI72" i="1"/>
  <c r="BI62" i="1"/>
  <c r="BF91" i="1"/>
  <c r="BF88" i="1"/>
  <c r="BF20" i="1"/>
  <c r="BF70" i="1"/>
  <c r="BF75" i="1"/>
  <c r="BF78" i="1"/>
  <c r="BF77" i="1"/>
  <c r="BF85" i="1"/>
  <c r="BF53" i="1"/>
  <c r="BF73" i="1"/>
  <c r="BF72" i="1"/>
  <c r="BF60" i="1"/>
  <c r="BF62" i="1"/>
  <c r="BG20" i="1"/>
  <c r="BG18" i="1"/>
  <c r="BG15" i="1"/>
  <c r="BG9" i="1"/>
  <c r="BC91" i="1"/>
  <c r="BC77" i="1"/>
  <c r="BC73" i="1"/>
  <c r="BC72" i="1"/>
  <c r="BC62" i="1"/>
  <c r="AS91" i="1"/>
  <c r="AS77" i="1"/>
  <c r="AS73" i="1"/>
  <c r="AS72" i="1"/>
  <c r="AS62" i="1"/>
  <c r="K75" i="1"/>
  <c r="AQ91" i="1"/>
  <c r="AQ77" i="1"/>
  <c r="AQ73" i="1"/>
  <c r="AQ72" i="1"/>
  <c r="AQ62" i="1"/>
  <c r="AH91" i="1"/>
  <c r="AH88" i="1"/>
  <c r="AH20" i="1"/>
  <c r="AH70" i="1"/>
  <c r="AH75" i="1"/>
  <c r="AH78" i="1"/>
  <c r="AH77" i="1"/>
  <c r="AH85" i="1"/>
  <c r="AH53" i="1"/>
  <c r="AH73" i="1"/>
  <c r="AH72" i="1"/>
  <c r="AH60" i="1"/>
  <c r="AH62" i="1"/>
  <c r="AI20" i="1"/>
  <c r="AI18" i="1"/>
  <c r="AI15" i="1"/>
  <c r="AI9" i="1"/>
  <c r="AF91" i="1"/>
  <c r="AF77" i="1"/>
  <c r="AF73" i="1"/>
  <c r="AF72" i="1"/>
  <c r="AF62" i="1"/>
  <c r="AC91" i="1"/>
  <c r="AC77" i="1"/>
  <c r="AC73" i="1"/>
  <c r="AC72" i="1"/>
  <c r="AC62" i="1"/>
  <c r="AA91" i="1"/>
  <c r="AA77" i="1"/>
  <c r="AA73" i="1"/>
  <c r="AA72" i="1"/>
  <c r="AA62" i="1"/>
  <c r="DI91" i="1"/>
  <c r="DI77" i="1"/>
  <c r="DI73" i="1"/>
  <c r="DI72" i="1"/>
  <c r="DI62" i="1"/>
  <c r="X91" i="1"/>
  <c r="X77" i="1"/>
  <c r="X73" i="1"/>
  <c r="X72" i="1"/>
  <c r="X62" i="1"/>
  <c r="T77" i="1"/>
  <c r="T73" i="1"/>
  <c r="T72" i="1"/>
  <c r="T62" i="1"/>
  <c r="R91" i="1"/>
  <c r="R77" i="1"/>
  <c r="R73" i="1"/>
  <c r="R72" i="1"/>
  <c r="R62" i="1"/>
  <c r="P91" i="1"/>
  <c r="N91" i="1"/>
  <c r="K91" i="1"/>
  <c r="I91" i="1"/>
  <c r="B91" i="1"/>
  <c r="P77" i="1"/>
  <c r="P73" i="1"/>
  <c r="P72" i="1"/>
  <c r="P62" i="1"/>
  <c r="N77" i="1"/>
  <c r="N73" i="1"/>
  <c r="N72" i="1"/>
  <c r="N62" i="1"/>
  <c r="K88" i="1"/>
  <c r="K20" i="1"/>
  <c r="K70" i="1"/>
  <c r="K78" i="1"/>
  <c r="K77" i="1"/>
  <c r="K85" i="1"/>
  <c r="K53" i="1"/>
  <c r="K73" i="1"/>
  <c r="K72" i="1"/>
  <c r="K60" i="1"/>
  <c r="K62" i="1"/>
  <c r="L20" i="1"/>
  <c r="L18" i="1"/>
  <c r="L15" i="1"/>
  <c r="L9" i="1"/>
  <c r="I73" i="1"/>
  <c r="I72" i="1"/>
  <c r="I62" i="1"/>
  <c r="D73" i="1"/>
  <c r="D72" i="1"/>
  <c r="D62" i="1"/>
  <c r="C9" i="1"/>
  <c r="B75" i="1"/>
  <c r="B78" i="1"/>
  <c r="B77" i="1"/>
  <c r="B53" i="1"/>
  <c r="B73" i="1"/>
  <c r="B72" i="1"/>
  <c r="B60" i="1"/>
  <c r="B62" i="1"/>
  <c r="B88" i="1"/>
  <c r="C18" i="1"/>
  <c r="C20" i="1"/>
  <c r="C15" i="1"/>
  <c r="D86" i="1"/>
  <c r="D67" i="1"/>
  <c r="D66" i="1"/>
  <c r="E9" i="1"/>
  <c r="E20" i="1"/>
  <c r="E18" i="1"/>
  <c r="E15" i="1"/>
  <c r="G9" i="1"/>
  <c r="G15" i="1"/>
  <c r="G18" i="1"/>
  <c r="G20" i="1"/>
  <c r="F66" i="1"/>
  <c r="F67" i="1"/>
  <c r="F69" i="1"/>
  <c r="F70" i="1"/>
  <c r="F88" i="1"/>
  <c r="J9" i="1"/>
  <c r="J15" i="1"/>
  <c r="J18" i="1"/>
  <c r="J20" i="1"/>
  <c r="I70" i="1"/>
  <c r="I88" i="1"/>
  <c r="I66" i="1"/>
  <c r="I67" i="1"/>
  <c r="I86" i="1"/>
  <c r="I69" i="1"/>
  <c r="N69" i="1"/>
  <c r="N86" i="1"/>
  <c r="N67" i="1"/>
  <c r="N66" i="1"/>
  <c r="N88" i="1"/>
  <c r="N70" i="1"/>
  <c r="O20" i="1"/>
  <c r="O18" i="1"/>
  <c r="O15" i="1"/>
  <c r="O9" i="1"/>
  <c r="P69" i="1"/>
  <c r="P86" i="1"/>
  <c r="P67" i="1"/>
  <c r="P66" i="1"/>
  <c r="P88" i="1"/>
  <c r="P70" i="1"/>
  <c r="Q20" i="1"/>
  <c r="Q18" i="1"/>
  <c r="Q15" i="1"/>
  <c r="Q9" i="1"/>
  <c r="R69" i="1"/>
  <c r="R86" i="1"/>
  <c r="R67" i="1"/>
  <c r="R66" i="1"/>
  <c r="R88" i="1"/>
  <c r="R70" i="1"/>
  <c r="S20" i="1"/>
  <c r="S18" i="1"/>
  <c r="S15" i="1"/>
  <c r="S9" i="1"/>
  <c r="U9" i="1"/>
  <c r="U15" i="1"/>
  <c r="U18" i="1"/>
  <c r="U20" i="1"/>
  <c r="T70" i="1"/>
  <c r="T66" i="1"/>
  <c r="T67" i="1"/>
  <c r="T69" i="1"/>
  <c r="V88" i="1"/>
  <c r="V86" i="1"/>
  <c r="V70" i="1"/>
  <c r="V69" i="1"/>
  <c r="V67" i="1"/>
  <c r="V66" i="1"/>
  <c r="W20" i="1"/>
  <c r="W18" i="1"/>
  <c r="W15" i="1"/>
  <c r="W9" i="1"/>
  <c r="Y9" i="1"/>
  <c r="Y15" i="1"/>
  <c r="Y18" i="1"/>
  <c r="Y20" i="1"/>
  <c r="X70" i="1"/>
  <c r="X88" i="1"/>
  <c r="X66" i="1"/>
  <c r="X67" i="1"/>
  <c r="X86" i="1"/>
  <c r="X69" i="1"/>
  <c r="DI69" i="1"/>
  <c r="DI86" i="1"/>
  <c r="DI67" i="1"/>
  <c r="DI66" i="1"/>
  <c r="DJ20" i="1"/>
  <c r="DJ18" i="1"/>
  <c r="DJ15" i="1"/>
  <c r="DJ9" i="1"/>
  <c r="DI70" i="1"/>
  <c r="AB9" i="1"/>
  <c r="AB15" i="1"/>
  <c r="AB18" i="1"/>
  <c r="AB20" i="1"/>
  <c r="AA70" i="1"/>
  <c r="AA88" i="1"/>
  <c r="AA66" i="1"/>
  <c r="AA67" i="1"/>
  <c r="AA86" i="1"/>
  <c r="AA69" i="1"/>
  <c r="AC69" i="1"/>
  <c r="AC86" i="1"/>
  <c r="AC67" i="1"/>
  <c r="AC66" i="1"/>
  <c r="AC88" i="1"/>
  <c r="AC70" i="1"/>
  <c r="AD20" i="1"/>
  <c r="AD18" i="1"/>
  <c r="AD15" i="1"/>
  <c r="AD9" i="1"/>
  <c r="AG9" i="1"/>
  <c r="AG15" i="1"/>
  <c r="AG18" i="1"/>
  <c r="AG20" i="1"/>
  <c r="AF70" i="1"/>
  <c r="AF66" i="1"/>
  <c r="AF67" i="1"/>
  <c r="AF69" i="1"/>
  <c r="AJ88" i="1"/>
  <c r="AJ86" i="1"/>
  <c r="AJ70" i="1"/>
  <c r="AJ69" i="1"/>
  <c r="AJ67" i="1"/>
  <c r="AJ66" i="1"/>
  <c r="AK20" i="1"/>
  <c r="AK18" i="1"/>
  <c r="AK15" i="1"/>
  <c r="AK9" i="1"/>
  <c r="AO69" i="1"/>
  <c r="AO67" i="1"/>
  <c r="AO66" i="1"/>
  <c r="AO70" i="1"/>
  <c r="AP20" i="1"/>
  <c r="AP18" i="1"/>
  <c r="AP15" i="1"/>
  <c r="AP9" i="1"/>
  <c r="AR9" i="1"/>
  <c r="AR15" i="1"/>
  <c r="AR18" i="1"/>
  <c r="AR20" i="1"/>
  <c r="AQ70" i="1"/>
  <c r="AQ66" i="1"/>
  <c r="AQ67" i="1"/>
  <c r="AQ69" i="1"/>
  <c r="AS69" i="1"/>
  <c r="AS67" i="1"/>
  <c r="AS66" i="1"/>
  <c r="AS70" i="1"/>
  <c r="AT20" i="1"/>
  <c r="AT18" i="1"/>
  <c r="AT15" i="1"/>
  <c r="AT9" i="1"/>
  <c r="AV9" i="1"/>
  <c r="AV15" i="1"/>
  <c r="AV18" i="1"/>
  <c r="AV20" i="1"/>
  <c r="AU70" i="1"/>
  <c r="AU88" i="1"/>
  <c r="AU66" i="1"/>
  <c r="AU67" i="1"/>
  <c r="AU86" i="1"/>
  <c r="AU69" i="1"/>
  <c r="AW88" i="1"/>
  <c r="AW86" i="1"/>
  <c r="AW70" i="1"/>
  <c r="AW69" i="1"/>
  <c r="AW67" i="1"/>
  <c r="AW66" i="1"/>
  <c r="AX20" i="1"/>
  <c r="AX18" i="1"/>
  <c r="AX15" i="1"/>
  <c r="AX9" i="1"/>
  <c r="AZ9" i="1"/>
  <c r="AZ15" i="1"/>
  <c r="AZ18" i="1"/>
  <c r="AZ20" i="1"/>
  <c r="AY66" i="1"/>
  <c r="AY67" i="1"/>
  <c r="AY69" i="1"/>
  <c r="AY70" i="1"/>
  <c r="AY86" i="1"/>
  <c r="AY88" i="1"/>
  <c r="BA70" i="1"/>
  <c r="BA69" i="1"/>
  <c r="BA67" i="1"/>
  <c r="BA66" i="1"/>
  <c r="BB20" i="1"/>
  <c r="BB18" i="1"/>
  <c r="BB15" i="1"/>
  <c r="BB9" i="1"/>
  <c r="BD9" i="1"/>
  <c r="BD15" i="1"/>
  <c r="BD18" i="1"/>
  <c r="BD20" i="1"/>
  <c r="BC70" i="1"/>
  <c r="BC66" i="1"/>
  <c r="BC67" i="1"/>
  <c r="BC69" i="1"/>
  <c r="BI69" i="1"/>
  <c r="BI67" i="1"/>
  <c r="BI66" i="1"/>
  <c r="BJ20" i="1"/>
  <c r="BJ18" i="1"/>
  <c r="BJ15" i="1"/>
  <c r="BJ9" i="1"/>
  <c r="BI70" i="1"/>
  <c r="BL9" i="1"/>
  <c r="BL15" i="1"/>
  <c r="BL18" i="1"/>
  <c r="BL20" i="1"/>
  <c r="BK70" i="1"/>
  <c r="BK66" i="1"/>
  <c r="BK67" i="1"/>
  <c r="BK69" i="1"/>
  <c r="BN69" i="1"/>
  <c r="BN86" i="1"/>
  <c r="BN67" i="1"/>
  <c r="BN66" i="1"/>
  <c r="BN88" i="1"/>
  <c r="BN70" i="1"/>
  <c r="BO20" i="1"/>
  <c r="BO18" i="1"/>
  <c r="BO15" i="1"/>
  <c r="BO9" i="1"/>
  <c r="BQ9" i="1"/>
  <c r="BQ15" i="1"/>
  <c r="BQ18" i="1"/>
  <c r="BQ20" i="1"/>
  <c r="BP70" i="1"/>
  <c r="BP88" i="1"/>
  <c r="BP66" i="1"/>
  <c r="BP67" i="1"/>
  <c r="BP86" i="1"/>
  <c r="BP69" i="1"/>
  <c r="BR69" i="1"/>
  <c r="BR86" i="1"/>
  <c r="BR67" i="1"/>
  <c r="BR66" i="1"/>
  <c r="BR88" i="1"/>
  <c r="BR70" i="1"/>
  <c r="BS20" i="1"/>
  <c r="BS18" i="1"/>
  <c r="BS15" i="1"/>
  <c r="BS9" i="1"/>
  <c r="BV9" i="1"/>
  <c r="BV15" i="1"/>
  <c r="BV18" i="1"/>
  <c r="BV20" i="1"/>
  <c r="BU70" i="1"/>
  <c r="BU66" i="1"/>
  <c r="BU67" i="1"/>
  <c r="BU69" i="1"/>
  <c r="BX9" i="1"/>
  <c r="BX15" i="1"/>
  <c r="BX18" i="1"/>
  <c r="BX20" i="1"/>
  <c r="BW70" i="1"/>
  <c r="BW66" i="1"/>
  <c r="BW67" i="1"/>
  <c r="BW69" i="1"/>
  <c r="BZ69" i="1"/>
  <c r="BZ86" i="1"/>
  <c r="BZ67" i="1"/>
  <c r="BZ66" i="1"/>
  <c r="BZ88" i="1"/>
  <c r="BZ70" i="1"/>
  <c r="CA20" i="1"/>
  <c r="CA18" i="1"/>
  <c r="CA15" i="1"/>
  <c r="CA9" i="1"/>
  <c r="CD9" i="1"/>
  <c r="CD15" i="1"/>
  <c r="CD18" i="1"/>
  <c r="CD20" i="1"/>
  <c r="CC70" i="1"/>
  <c r="CC66" i="1"/>
  <c r="CC67" i="1"/>
  <c r="CC69" i="1"/>
  <c r="CF9" i="1"/>
  <c r="CF15" i="1"/>
  <c r="CF18" i="1"/>
  <c r="CF20" i="1"/>
  <c r="CE70" i="1"/>
  <c r="CE69" i="1"/>
  <c r="CE67" i="1"/>
  <c r="CE66" i="1"/>
  <c r="CJ88" i="1"/>
  <c r="CJ86" i="1"/>
  <c r="CJ70" i="1"/>
  <c r="CJ69" i="1"/>
  <c r="CJ67" i="1"/>
  <c r="CJ66" i="1"/>
  <c r="CK20" i="1"/>
  <c r="CK18" i="1"/>
  <c r="CK15" i="1"/>
  <c r="CK9" i="1"/>
  <c r="CP69" i="1"/>
  <c r="CP67" i="1"/>
  <c r="CP66" i="1"/>
  <c r="CP70" i="1"/>
  <c r="CQ20" i="1"/>
  <c r="CQ18" i="1"/>
  <c r="CQ15" i="1"/>
  <c r="CQ9" i="1"/>
  <c r="CS9" i="1"/>
  <c r="CS15" i="1"/>
  <c r="CS18" i="1"/>
  <c r="CS20" i="1"/>
  <c r="CR70" i="1"/>
  <c r="CR88" i="1"/>
  <c r="CR66" i="1"/>
  <c r="CR67" i="1"/>
  <c r="CR86" i="1"/>
  <c r="CR69" i="1"/>
  <c r="CT88" i="1"/>
  <c r="CT86" i="1"/>
  <c r="CT70" i="1"/>
  <c r="CT69" i="1"/>
  <c r="CT67" i="1"/>
  <c r="CT66" i="1"/>
  <c r="CU20" i="1"/>
  <c r="CU18" i="1"/>
  <c r="CU15" i="1"/>
  <c r="CU9" i="1"/>
  <c r="CW9" i="1"/>
  <c r="CW15" i="1"/>
  <c r="CW18" i="1"/>
  <c r="CW20" i="1"/>
  <c r="CV66" i="1"/>
  <c r="CV67" i="1"/>
  <c r="CV69" i="1"/>
  <c r="CV70" i="1"/>
  <c r="CV86" i="1"/>
  <c r="CV88" i="1"/>
  <c r="CX88" i="1"/>
  <c r="CX86" i="1"/>
  <c r="CX70" i="1"/>
  <c r="CX69" i="1"/>
  <c r="CX67" i="1"/>
  <c r="CX66" i="1"/>
  <c r="CY20" i="1"/>
  <c r="CY18" i="1"/>
  <c r="CY15" i="1"/>
  <c r="CY9" i="1"/>
  <c r="DA9" i="1"/>
  <c r="DA15" i="1"/>
  <c r="DA18" i="1"/>
  <c r="DA20" i="1"/>
  <c r="CZ66" i="1"/>
  <c r="CZ67" i="1"/>
  <c r="CZ69" i="1"/>
  <c r="CZ70" i="1"/>
  <c r="CZ86" i="1"/>
  <c r="CZ88" i="1"/>
  <c r="DB88" i="1"/>
  <c r="DB86" i="1"/>
  <c r="DB70" i="1"/>
  <c r="DB69" i="1"/>
  <c r="DB67" i="1"/>
  <c r="DB66" i="1"/>
  <c r="DC20" i="1"/>
  <c r="DC18" i="1"/>
  <c r="DC15" i="1"/>
  <c r="DC9" i="1"/>
  <c r="DE9" i="1"/>
  <c r="DE15" i="1"/>
  <c r="DE18" i="1"/>
  <c r="DE20" i="1"/>
  <c r="DD66" i="1"/>
  <c r="DD67" i="1"/>
  <c r="DD69" i="1"/>
  <c r="DD70" i="1"/>
  <c r="DD86" i="1"/>
  <c r="DD88" i="1"/>
  <c r="DF88" i="1"/>
  <c r="DF86" i="1"/>
  <c r="DF70" i="1"/>
  <c r="DF69" i="1"/>
  <c r="DF67" i="1"/>
  <c r="DF66" i="1"/>
  <c r="DG20" i="1"/>
  <c r="DG18" i="1"/>
  <c r="DG15" i="1"/>
  <c r="DG9" i="1"/>
  <c r="AL20" i="1"/>
  <c r="AL22" i="1"/>
  <c r="AL68" i="1"/>
  <c r="AM22" i="1"/>
  <c r="AM9" i="1"/>
  <c r="AM15" i="1"/>
  <c r="AM18" i="1"/>
  <c r="AM20" i="1"/>
  <c r="AL66" i="1"/>
  <c r="AL67" i="1"/>
  <c r="AL69" i="1"/>
  <c r="AL70" i="1"/>
</calcChain>
</file>

<file path=xl/sharedStrings.xml><?xml version="1.0" encoding="utf-8"?>
<sst xmlns="http://schemas.openxmlformats.org/spreadsheetml/2006/main" count="480" uniqueCount="161">
  <si>
    <t>Cost of sales</t>
  </si>
  <si>
    <t>Gross profit</t>
  </si>
  <si>
    <t xml:space="preserve">SG&amp;A </t>
  </si>
  <si>
    <t>Operating profit</t>
  </si>
  <si>
    <t>Finance income(expense)</t>
  </si>
  <si>
    <t>Income tax</t>
  </si>
  <si>
    <t>Net profit</t>
  </si>
  <si>
    <t>Alstom</t>
  </si>
  <si>
    <t>Pre-tax profit</t>
  </si>
  <si>
    <t>%</t>
  </si>
  <si>
    <t>Effective tax rate</t>
  </si>
  <si>
    <t>Property Plant &amp; Equipment</t>
  </si>
  <si>
    <t>Other</t>
  </si>
  <si>
    <t>Inventories and L/T Contracts</t>
  </si>
  <si>
    <t>Trade receivables</t>
  </si>
  <si>
    <t>Other current assets</t>
  </si>
  <si>
    <t>Trade payables</t>
  </si>
  <si>
    <t>Borrowings</t>
  </si>
  <si>
    <t>Other current liabilities</t>
  </si>
  <si>
    <t>Deferred taxes</t>
  </si>
  <si>
    <t>Total assets</t>
  </si>
  <si>
    <t>Provisions</t>
  </si>
  <si>
    <t>Pensions  and employee benefits</t>
  </si>
  <si>
    <t>Shareholder's equity</t>
  </si>
  <si>
    <t>Total Equity and liabilities</t>
  </si>
  <si>
    <t>Non-current assets</t>
  </si>
  <si>
    <t>Current assets</t>
  </si>
  <si>
    <t>Current liabilities</t>
  </si>
  <si>
    <t>Non-current liabilities</t>
  </si>
  <si>
    <t>Income statement</t>
  </si>
  <si>
    <t>Statement of financial position</t>
  </si>
  <si>
    <t>Current ratio</t>
  </si>
  <si>
    <t>Quick ratio</t>
  </si>
  <si>
    <t>Inventory turnover</t>
  </si>
  <si>
    <t>Asset turnover</t>
  </si>
  <si>
    <t>Siemens</t>
  </si>
  <si>
    <t>Other income (expense)</t>
  </si>
  <si>
    <t>SAP</t>
  </si>
  <si>
    <t>Sage (£)</t>
  </si>
  <si>
    <t>Software</t>
  </si>
  <si>
    <t>Sanofi</t>
  </si>
  <si>
    <t>Research and development</t>
  </si>
  <si>
    <t>R&amp;D as % of Revenues</t>
  </si>
  <si>
    <t>Bayer</t>
  </si>
  <si>
    <t>BASF</t>
  </si>
  <si>
    <t>Ratios</t>
  </si>
  <si>
    <t>Telefonica</t>
  </si>
  <si>
    <t>ENI</t>
  </si>
  <si>
    <t>Total</t>
  </si>
  <si>
    <t>IAG</t>
  </si>
  <si>
    <t>Airlines</t>
  </si>
  <si>
    <t>LVMH</t>
  </si>
  <si>
    <t>L'Oreal</t>
  </si>
  <si>
    <t>SABMiller ($)</t>
  </si>
  <si>
    <t>Intangibles as % Total Assets</t>
  </si>
  <si>
    <t>Intangibles as % of Equity</t>
  </si>
  <si>
    <t>Diageo (£)</t>
  </si>
  <si>
    <t>BAT (£)</t>
  </si>
  <si>
    <t>Inditex</t>
  </si>
  <si>
    <t>Volkswagen</t>
  </si>
  <si>
    <t>Share of results of Assoc Cos</t>
  </si>
  <si>
    <t>Unilever</t>
  </si>
  <si>
    <t>HSBC</t>
  </si>
  <si>
    <t>Santander</t>
  </si>
  <si>
    <t>Statoil (NOK)</t>
  </si>
  <si>
    <t>AB Inbev ($)</t>
  </si>
  <si>
    <t>-</t>
  </si>
  <si>
    <t>Gross Margin</t>
  </si>
  <si>
    <t>Operating margin</t>
  </si>
  <si>
    <t>Debt/Equity ratio (Gearing)</t>
  </si>
  <si>
    <t>Interest cover</t>
  </si>
  <si>
    <t>Goodwill</t>
  </si>
  <si>
    <t>Intangible assets</t>
  </si>
  <si>
    <t>Operating expenses</t>
  </si>
  <si>
    <t>Astrazeneca</t>
  </si>
  <si>
    <t>Gazprom</t>
  </si>
  <si>
    <t>Rosneft</t>
  </si>
  <si>
    <t>BG Group</t>
  </si>
  <si>
    <t>Beverages</t>
  </si>
  <si>
    <t>Tobacco</t>
  </si>
  <si>
    <t>Daimler</t>
  </si>
  <si>
    <t>BMW</t>
  </si>
  <si>
    <t>ABB</t>
  </si>
  <si>
    <t>Chemicals</t>
  </si>
  <si>
    <t>BNP Paribas</t>
  </si>
  <si>
    <t>Lloyds</t>
  </si>
  <si>
    <t>UBS</t>
  </si>
  <si>
    <t>BBVA</t>
  </si>
  <si>
    <t>Barclays</t>
  </si>
  <si>
    <t>Allianza</t>
  </si>
  <si>
    <t>AXA</t>
  </si>
  <si>
    <t>Deutsche Telekom</t>
  </si>
  <si>
    <t>H&amp;M</t>
  </si>
  <si>
    <t>Glencore Xstrata</t>
  </si>
  <si>
    <t>BHP Bilitin</t>
  </si>
  <si>
    <t>Utilities</t>
  </si>
  <si>
    <t>EDF</t>
  </si>
  <si>
    <t>GDF Suez</t>
  </si>
  <si>
    <t>Reckitt Benckiser</t>
  </si>
  <si>
    <t>Household Goods</t>
  </si>
  <si>
    <t>Discontinued operations</t>
  </si>
  <si>
    <t>Net profit continuing operations</t>
  </si>
  <si>
    <t>Investments</t>
  </si>
  <si>
    <t>Cash</t>
  </si>
  <si>
    <t>Assets held for disposal</t>
  </si>
  <si>
    <t>Liabilities held for disposal</t>
  </si>
  <si>
    <t>Profitability</t>
  </si>
  <si>
    <t>Return on equity</t>
  </si>
  <si>
    <t>Return on capital employed (ROCE)</t>
  </si>
  <si>
    <t>Net profit margin</t>
  </si>
  <si>
    <t>Liquidity</t>
  </si>
  <si>
    <t>Efficiency</t>
  </si>
  <si>
    <t>Trade receivables collection (DSO)</t>
  </si>
  <si>
    <t>Inventory holding period (DOI)</t>
  </si>
  <si>
    <t>Trade payables payment (DPO)</t>
  </si>
  <si>
    <t>Investment ratios</t>
  </si>
  <si>
    <t>Earning per share</t>
  </si>
  <si>
    <t>Price earnings ratio P/E</t>
  </si>
  <si>
    <t>Dividend cover</t>
  </si>
  <si>
    <t>Dividend yield</t>
  </si>
  <si>
    <t>Market capitalization</t>
  </si>
  <si>
    <t>Share price</t>
  </si>
  <si>
    <t>Number of shares</t>
  </si>
  <si>
    <t>Dividend per share</t>
  </si>
  <si>
    <t>$ millions</t>
  </si>
  <si>
    <t>€ millions</t>
  </si>
  <si>
    <t>USGAAP</t>
  </si>
  <si>
    <t>Roche</t>
  </si>
  <si>
    <t>CHF millions</t>
  </si>
  <si>
    <t>Sales</t>
  </si>
  <si>
    <t>Other revenues</t>
  </si>
  <si>
    <t>Net sales</t>
  </si>
  <si>
    <t>Loans and advances to customers</t>
  </si>
  <si>
    <t>Short-term investments</t>
  </si>
  <si>
    <t>Consumer credit finance</t>
  </si>
  <si>
    <t>Income taxes</t>
  </si>
  <si>
    <t>Other financial liabilities</t>
  </si>
  <si>
    <t>Depreciation and ammortization</t>
  </si>
  <si>
    <t>£ millions</t>
  </si>
  <si>
    <t>GSK</t>
  </si>
  <si>
    <t>Other financial assets</t>
  </si>
  <si>
    <t>US$ millions</t>
  </si>
  <si>
    <t>Novartis</t>
  </si>
  <si>
    <t>DKK millions</t>
  </si>
  <si>
    <t>Novo Nordisk</t>
  </si>
  <si>
    <t xml:space="preserve">Rio Tinto </t>
  </si>
  <si>
    <t>£ million</t>
  </si>
  <si>
    <t xml:space="preserve">Vodafone </t>
  </si>
  <si>
    <t>Shell</t>
  </si>
  <si>
    <t>BP</t>
  </si>
  <si>
    <t>£</t>
  </si>
  <si>
    <t>Nestlé</t>
  </si>
  <si>
    <t>SEK millions</t>
  </si>
  <si>
    <t>€ 000's</t>
  </si>
  <si>
    <t>$ million</t>
  </si>
  <si>
    <t>£6.62</t>
  </si>
  <si>
    <t>Opening inventory</t>
  </si>
  <si>
    <t>Purchases</t>
  </si>
  <si>
    <t>Closing inventory</t>
  </si>
  <si>
    <t>Disclosure</t>
  </si>
  <si>
    <t>2013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</si>
</sst>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;[Red]\(#,##0\)"/>
    <numFmt numFmtId="165" formatCode="#,##0.00;[Red]#,##0.00"/>
    <numFmt numFmtId="166" formatCode="#,##0;[Red]#,##0"/>
    <numFmt numFmtId="167" formatCode="_-* #,##0_-;\-* #,##0_-;_-* &quot;-&quot;??_-;_-@_-"/>
    <numFmt numFmtId="168" formatCode="#,##0.0;[Red]\(#,##0.0\)"/>
    <numFmt numFmtId="169" formatCode="#,##0.00;[Red]\(#,##0.00\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3366FF"/>
      <name val="Calibri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3366FF"/>
      <name val="Calibri"/>
      <scheme val="minor"/>
    </font>
    <font>
      <sz val="12"/>
      <name val="Calibri"/>
      <scheme val="minor"/>
    </font>
    <font>
      <u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09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9" fontId="0" fillId="0" borderId="0" xfId="1" applyFont="1"/>
    <xf numFmtId="164" fontId="0" fillId="0" borderId="1" xfId="0" applyNumberFormat="1" applyBorder="1"/>
    <xf numFmtId="164" fontId="0" fillId="0" borderId="0" xfId="0" applyNumberFormat="1" applyAlignment="1">
      <alignment horizontal="right"/>
    </xf>
    <xf numFmtId="164" fontId="0" fillId="0" borderId="0" xfId="0" applyNumberFormat="1" applyBorder="1"/>
    <xf numFmtId="164" fontId="3" fillId="0" borderId="0" xfId="0" applyNumberFormat="1" applyFont="1"/>
    <xf numFmtId="164" fontId="3" fillId="0" borderId="2" xfId="0" applyNumberFormat="1" applyFont="1" applyBorder="1"/>
    <xf numFmtId="165" fontId="0" fillId="0" borderId="0" xfId="0" applyNumberFormat="1"/>
    <xf numFmtId="164" fontId="3" fillId="0" borderId="0" xfId="0" applyNumberFormat="1" applyFont="1" applyBorder="1"/>
    <xf numFmtId="164" fontId="6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/>
    <xf numFmtId="1" fontId="0" fillId="0" borderId="0" xfId="1" applyNumberFormat="1" applyFont="1"/>
    <xf numFmtId="164" fontId="0" fillId="0" borderId="0" xfId="0" applyNumberFormat="1" applyAlignment="1"/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164" fontId="8" fillId="0" borderId="1" xfId="0" applyNumberFormat="1" applyFont="1" applyBorder="1"/>
    <xf numFmtId="9" fontId="8" fillId="0" borderId="0" xfId="0" applyNumberFormat="1" applyFont="1"/>
    <xf numFmtId="164" fontId="0" fillId="0" borderId="2" xfId="0" applyNumberFormat="1" applyBorder="1"/>
    <xf numFmtId="164" fontId="9" fillId="0" borderId="2" xfId="0" applyNumberFormat="1" applyFont="1" applyBorder="1"/>
    <xf numFmtId="165" fontId="8" fillId="0" borderId="0" xfId="0" applyNumberFormat="1" applyFont="1"/>
    <xf numFmtId="166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 applyBorder="1"/>
    <xf numFmtId="164" fontId="0" fillId="0" borderId="1" xfId="0" applyNumberFormat="1" applyBorder="1" applyAlignment="1">
      <alignment horizontal="right"/>
    </xf>
    <xf numFmtId="167" fontId="0" fillId="0" borderId="0" xfId="842" applyNumberFormat="1" applyFont="1"/>
    <xf numFmtId="164" fontId="10" fillId="0" borderId="0" xfId="0" applyNumberFormat="1" applyFont="1"/>
    <xf numFmtId="166" fontId="11" fillId="0" borderId="0" xfId="0" applyNumberFormat="1" applyFont="1"/>
    <xf numFmtId="164" fontId="11" fillId="0" borderId="0" xfId="0" applyNumberFormat="1" applyFont="1"/>
    <xf numFmtId="168" fontId="0" fillId="0" borderId="0" xfId="0" applyNumberFormat="1"/>
    <xf numFmtId="169" fontId="0" fillId="0" borderId="0" xfId="0" applyNumberFormat="1"/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4" fontId="0" fillId="2" borderId="0" xfId="0" applyNumberFormat="1" applyFill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0" xfId="0" applyNumberFormat="1" applyFont="1"/>
    <xf numFmtId="164" fontId="12" fillId="0" borderId="1" xfId="0" applyNumberFormat="1" applyFont="1" applyBorder="1"/>
    <xf numFmtId="164" fontId="0" fillId="0" borderId="0" xfId="0" applyNumberFormat="1" applyFont="1"/>
    <xf numFmtId="164" fontId="0" fillId="2" borderId="0" xfId="0" applyNumberFormat="1" applyFill="1" applyAlignment="1">
      <alignment horizontal="right"/>
    </xf>
    <xf numFmtId="2" fontId="0" fillId="0" borderId="0" xfId="0" applyNumberFormat="1"/>
    <xf numFmtId="1" fontId="0" fillId="0" borderId="0" xfId="0" applyNumberFormat="1"/>
    <xf numFmtId="164" fontId="0" fillId="2" borderId="0" xfId="0" applyNumberFormat="1" applyFill="1" applyAlignment="1">
      <alignment horizontal="right" textRotation="90"/>
    </xf>
    <xf numFmtId="164" fontId="0" fillId="2" borderId="0" xfId="0" applyNumberFormat="1" applyFill="1" applyAlignment="1">
      <alignment textRotation="90"/>
    </xf>
    <xf numFmtId="164" fontId="8" fillId="2" borderId="0" xfId="0" applyNumberFormat="1" applyFont="1" applyFill="1" applyAlignment="1">
      <alignment textRotation="90"/>
    </xf>
    <xf numFmtId="164" fontId="0" fillId="0" borderId="0" xfId="0" applyNumberFormat="1" applyAlignment="1">
      <alignment horizontal="center"/>
    </xf>
  </cellXfs>
  <cellStyles count="1209">
    <cellStyle name="Comma" xfId="842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03"/>
  <sheetViews>
    <sheetView workbookViewId="0">
      <pane xSplit="3" ySplit="4" topLeftCell="D56" activePane="bottomRight" state="frozen"/>
      <selection pane="topRight" activeCell="D1" sqref="D1"/>
      <selection pane="bottomLeft" activeCell="A5" sqref="A5"/>
      <selection pane="bottomRight" activeCell="A64" sqref="A64:DI108"/>
    </sheetView>
  </sheetViews>
  <sheetFormatPr baseColWidth="10" defaultRowHeight="15" x14ac:dyDescent="0"/>
  <cols>
    <col min="1" max="1" width="28.33203125" style="1" customWidth="1"/>
    <col min="2" max="2" width="10.83203125" style="1" hidden="1" customWidth="1"/>
    <col min="3" max="3" width="5.83203125" style="1" hidden="1" customWidth="1"/>
    <col min="4" max="4" width="13.83203125" style="1" customWidth="1"/>
    <col min="5" max="5" width="8.1640625" style="1" customWidth="1"/>
    <col min="6" max="6" width="12.83203125" style="1" hidden="1" customWidth="1"/>
    <col min="7" max="7" width="8.1640625" style="1" hidden="1" customWidth="1"/>
    <col min="8" max="8" width="6.83203125" style="1" hidden="1" customWidth="1"/>
    <col min="9" max="9" width="12.83203125" style="1" hidden="1" customWidth="1"/>
    <col min="10" max="10" width="8.33203125" style="1" hidden="1" customWidth="1"/>
    <col min="11" max="11" width="10.83203125" style="1" hidden="1" customWidth="1"/>
    <col min="12" max="13" width="7.6640625" style="1" hidden="1" customWidth="1"/>
    <col min="14" max="14" width="11.33203125" style="1" hidden="1" customWidth="1"/>
    <col min="15" max="15" width="7.33203125" style="1" hidden="1" customWidth="1"/>
    <col min="16" max="16" width="14.83203125" style="1" hidden="1" customWidth="1"/>
    <col min="17" max="17" width="8.33203125" style="1" hidden="1" customWidth="1"/>
    <col min="18" max="18" width="12.83203125" style="1" hidden="1" customWidth="1"/>
    <col min="19" max="19" width="7.6640625" style="1" hidden="1" customWidth="1"/>
    <col min="20" max="20" width="14.83203125" style="1" bestFit="1" customWidth="1"/>
    <col min="21" max="21" width="8.33203125" style="1" customWidth="1"/>
    <col min="22" max="22" width="12.83203125" style="1" hidden="1" customWidth="1"/>
    <col min="23" max="23" width="8.33203125" style="1" hidden="1" customWidth="1"/>
    <col min="24" max="24" width="12.1640625" style="1" hidden="1" customWidth="1"/>
    <col min="25" max="25" width="7" style="1" hidden="1" customWidth="1"/>
    <col min="26" max="26" width="10.33203125" style="1" hidden="1" customWidth="1"/>
    <col min="27" max="27" width="0" style="1" hidden="1" customWidth="1"/>
    <col min="28" max="28" width="6.83203125" style="1" hidden="1" customWidth="1"/>
    <col min="29" max="29" width="0" style="1" hidden="1" customWidth="1"/>
    <col min="30" max="30" width="7.5" style="1" hidden="1" customWidth="1"/>
    <col min="31" max="31" width="0" style="1" hidden="1" customWidth="1"/>
    <col min="32" max="32" width="13.83203125" style="1" bestFit="1" customWidth="1"/>
    <col min="33" max="33" width="7.6640625" style="1" customWidth="1"/>
    <col min="34" max="34" width="0" style="1" hidden="1" customWidth="1"/>
    <col min="35" max="35" width="7.33203125" style="1" hidden="1" customWidth="1"/>
    <col min="36" max="36" width="0" style="1" hidden="1" customWidth="1"/>
    <col min="37" max="37" width="7.6640625" style="1" hidden="1" customWidth="1"/>
    <col min="38" max="38" width="12.83203125" style="1" bestFit="1" customWidth="1"/>
    <col min="39" max="39" width="7.6640625" style="1" customWidth="1"/>
    <col min="40" max="40" width="0" style="1" hidden="1" customWidth="1"/>
    <col min="41" max="41" width="12.83203125" style="1" bestFit="1" customWidth="1"/>
    <col min="42" max="42" width="8.33203125" style="1" customWidth="1"/>
    <col min="43" max="43" width="13.83203125" style="1" bestFit="1" customWidth="1"/>
    <col min="44" max="44" width="7.6640625" style="1" customWidth="1"/>
    <col min="45" max="45" width="12.83203125" style="1" bestFit="1" customWidth="1"/>
    <col min="46" max="46" width="6.83203125" style="1" customWidth="1"/>
    <col min="47" max="47" width="10.83203125" style="1" hidden="1" customWidth="1"/>
    <col min="48" max="48" width="7.6640625" style="1" hidden="1" customWidth="1"/>
    <col min="49" max="49" width="10.5" style="1" hidden="1" customWidth="1"/>
    <col min="50" max="50" width="7.6640625" style="1" hidden="1" customWidth="1"/>
    <col min="51" max="51" width="10.6640625" style="1" hidden="1" customWidth="1"/>
    <col min="52" max="52" width="7.6640625" style="1" hidden="1" customWidth="1"/>
    <col min="53" max="53" width="12.83203125" style="1" bestFit="1" customWidth="1"/>
    <col min="54" max="54" width="7.6640625" style="1" customWidth="1"/>
    <col min="55" max="55" width="12.83203125" style="1" bestFit="1" customWidth="1"/>
    <col min="56" max="56" width="7.1640625" style="1" customWidth="1"/>
    <col min="57" max="58" width="0" style="1" hidden="1" customWidth="1"/>
    <col min="59" max="59" width="7.1640625" style="1" hidden="1" customWidth="1"/>
    <col min="60" max="60" width="0" style="1" hidden="1" customWidth="1"/>
    <col min="61" max="61" width="11.33203125" style="1" bestFit="1" customWidth="1"/>
    <col min="62" max="62" width="7.5" style="1" customWidth="1"/>
    <col min="63" max="63" width="11.33203125" style="1" bestFit="1" customWidth="1"/>
    <col min="64" max="64" width="7.83203125" style="1" customWidth="1"/>
    <col min="65" max="65" width="7.83203125" style="1" hidden="1" customWidth="1"/>
    <col min="66" max="66" width="0" style="1" hidden="1" customWidth="1"/>
    <col min="67" max="67" width="8.1640625" style="1" hidden="1" customWidth="1"/>
    <col min="68" max="68" width="9.6640625" style="1" hidden="1" customWidth="1"/>
    <col min="69" max="69" width="9" style="1" hidden="1" customWidth="1"/>
    <col min="70" max="70" width="0" style="1" hidden="1" customWidth="1"/>
    <col min="71" max="72" width="7.33203125" style="1" hidden="1" customWidth="1"/>
    <col min="73" max="73" width="12.83203125" style="1" bestFit="1" customWidth="1"/>
    <col min="74" max="74" width="8.33203125" style="1" customWidth="1"/>
    <col min="75" max="75" width="13.83203125" style="1" bestFit="1" customWidth="1"/>
    <col min="76" max="76" width="8.83203125" style="1" customWidth="1"/>
    <col min="77" max="77" width="8.83203125" style="1" hidden="1" customWidth="1"/>
    <col min="78" max="78" width="0" style="1" hidden="1" customWidth="1"/>
    <col min="79" max="80" width="8.83203125" style="1" hidden="1" customWidth="1"/>
    <col min="81" max="81" width="11.33203125" style="1" bestFit="1" customWidth="1"/>
    <col min="82" max="82" width="6.5" style="1" customWidth="1"/>
    <col min="83" max="83" width="12.83203125" style="1" bestFit="1" customWidth="1"/>
    <col min="84" max="85" width="6.5" style="1" customWidth="1"/>
    <col min="86" max="86" width="11.33203125" style="1" bestFit="1" customWidth="1"/>
    <col min="87" max="87" width="6.5" style="1" customWidth="1"/>
    <col min="88" max="88" width="10.83203125" style="1" hidden="1" customWidth="1"/>
    <col min="89" max="89" width="6.5" style="1" hidden="1" customWidth="1"/>
    <col min="90" max="90" width="11.33203125" style="1" bestFit="1" customWidth="1"/>
    <col min="91" max="91" width="6.5" style="1" customWidth="1"/>
    <col min="92" max="92" width="16.33203125" style="1" bestFit="1" customWidth="1"/>
    <col min="93" max="93" width="7.5" style="1" customWidth="1"/>
    <col min="94" max="94" width="13.83203125" style="1" bestFit="1" customWidth="1"/>
    <col min="95" max="95" width="7.6640625" style="1" customWidth="1"/>
    <col min="96" max="96" width="0" style="1" hidden="1" customWidth="1"/>
    <col min="97" max="97" width="8.33203125" style="1" hidden="1" customWidth="1"/>
    <col min="98" max="112" width="0" style="1" hidden="1" customWidth="1"/>
    <col min="113" max="113" width="10.83203125" style="1"/>
    <col min="114" max="114" width="6.83203125" style="1" customWidth="1"/>
    <col min="115" max="126" width="0" style="1" hidden="1" customWidth="1"/>
    <col min="127" max="16384" width="10.83203125" style="1"/>
  </cols>
  <sheetData>
    <row r="1" spans="1:126">
      <c r="A1" s="1" t="s">
        <v>160</v>
      </c>
    </row>
    <row r="2" spans="1:126" ht="38" customHeight="1">
      <c r="A2" s="11" t="s">
        <v>29</v>
      </c>
      <c r="B2" s="53"/>
      <c r="C2" s="53"/>
      <c r="D2" s="53"/>
      <c r="E2" s="53"/>
      <c r="F2" s="53"/>
      <c r="G2" s="53"/>
      <c r="H2" s="13"/>
      <c r="I2" s="53" t="s">
        <v>39</v>
      </c>
      <c r="J2" s="53"/>
      <c r="K2" s="53"/>
      <c r="L2" s="53"/>
      <c r="M2" s="2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2"/>
      <c r="AA2" s="53" t="s">
        <v>83</v>
      </c>
      <c r="AB2" s="53"/>
      <c r="AC2" s="53"/>
      <c r="AD2" s="53"/>
      <c r="AF2" s="53"/>
      <c r="AG2" s="53"/>
      <c r="AH2" s="53"/>
      <c r="AI2" s="53"/>
      <c r="AJ2" s="53"/>
      <c r="AK2" s="53"/>
      <c r="AL2" s="53"/>
      <c r="AM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F2" s="2" t="s">
        <v>50</v>
      </c>
      <c r="BI2" s="53"/>
      <c r="BJ2" s="53"/>
      <c r="BK2" s="53"/>
      <c r="BL2" s="53"/>
      <c r="BM2" s="19"/>
      <c r="BN2" s="53" t="s">
        <v>78</v>
      </c>
      <c r="BO2" s="53"/>
      <c r="BP2" s="53"/>
      <c r="BQ2" s="53"/>
      <c r="BR2" s="53"/>
      <c r="BS2" s="53"/>
      <c r="BT2" s="16"/>
      <c r="BU2" s="53"/>
      <c r="BV2" s="53"/>
      <c r="BW2" s="53"/>
      <c r="BX2" s="53"/>
      <c r="BY2" s="16"/>
      <c r="BZ2" s="16" t="s">
        <v>79</v>
      </c>
      <c r="CA2" s="19"/>
      <c r="CB2" s="19"/>
      <c r="CC2" s="53"/>
      <c r="CD2" s="53"/>
      <c r="CE2" s="53"/>
      <c r="CF2" s="53"/>
      <c r="CG2" s="19"/>
      <c r="CH2" s="53"/>
      <c r="CI2" s="53"/>
      <c r="CJ2" s="53"/>
      <c r="CK2" s="53"/>
      <c r="CL2" s="53"/>
      <c r="CM2" s="53"/>
      <c r="CN2" s="43"/>
      <c r="CO2" s="4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16"/>
      <c r="DI2" s="53"/>
      <c r="DJ2" s="53"/>
      <c r="DK2" s="53"/>
      <c r="DL2" s="53"/>
      <c r="DM2" s="53"/>
      <c r="DN2" s="53"/>
      <c r="DP2" s="53" t="s">
        <v>95</v>
      </c>
      <c r="DQ2" s="53"/>
      <c r="DR2" s="53"/>
      <c r="DS2" s="53"/>
      <c r="DU2" s="16" t="s">
        <v>99</v>
      </c>
    </row>
    <row r="3" spans="1:126" ht="18">
      <c r="A3" s="11"/>
      <c r="B3" s="16"/>
      <c r="C3" s="16"/>
      <c r="D3" s="16" t="s">
        <v>125</v>
      </c>
      <c r="E3" s="16"/>
      <c r="F3" s="16" t="s">
        <v>124</v>
      </c>
      <c r="G3" s="16"/>
      <c r="H3" s="13"/>
      <c r="I3" s="37" t="s">
        <v>125</v>
      </c>
      <c r="J3" s="16"/>
      <c r="K3" s="16"/>
      <c r="L3" s="16"/>
      <c r="M3" s="16"/>
      <c r="N3" s="16" t="s">
        <v>128</v>
      </c>
      <c r="O3" s="16"/>
      <c r="P3" s="37" t="s">
        <v>125</v>
      </c>
      <c r="Q3" s="16"/>
      <c r="R3" s="16" t="s">
        <v>138</v>
      </c>
      <c r="S3" s="16"/>
      <c r="T3" s="16" t="s">
        <v>141</v>
      </c>
      <c r="U3" s="16"/>
      <c r="V3" s="41" t="s">
        <v>141</v>
      </c>
      <c r="W3" s="16"/>
      <c r="X3" s="16" t="s">
        <v>143</v>
      </c>
      <c r="Y3" s="16"/>
      <c r="Z3" s="16"/>
      <c r="AA3" s="16"/>
      <c r="AB3" s="16"/>
      <c r="AC3" s="16"/>
      <c r="AD3" s="16"/>
      <c r="AF3" s="16" t="s">
        <v>146</v>
      </c>
      <c r="AG3" s="16"/>
      <c r="AH3" s="16"/>
      <c r="AI3" s="16"/>
      <c r="AJ3" s="16"/>
      <c r="AK3" s="16"/>
      <c r="AL3" s="16" t="s">
        <v>125</v>
      </c>
      <c r="AM3" s="16"/>
      <c r="AO3" s="16" t="s">
        <v>124</v>
      </c>
      <c r="AP3" s="16"/>
      <c r="AQ3" s="42" t="s">
        <v>124</v>
      </c>
      <c r="AR3" s="16"/>
      <c r="AS3" s="42" t="s">
        <v>125</v>
      </c>
      <c r="AT3" s="16"/>
      <c r="AU3" s="16"/>
      <c r="AV3" s="16"/>
      <c r="AW3" s="16"/>
      <c r="AX3" s="16"/>
      <c r="AY3" s="16"/>
      <c r="AZ3" s="16"/>
      <c r="BA3" s="42" t="s">
        <v>124</v>
      </c>
      <c r="BB3" s="16"/>
      <c r="BC3" s="42" t="s">
        <v>125</v>
      </c>
      <c r="BD3" s="16"/>
      <c r="BF3" s="16"/>
      <c r="BI3" s="42" t="s">
        <v>125</v>
      </c>
      <c r="BJ3" s="16"/>
      <c r="BK3" s="42" t="s">
        <v>125</v>
      </c>
      <c r="BL3" s="16"/>
      <c r="BM3" s="19"/>
      <c r="BN3" s="16"/>
      <c r="BO3" s="16"/>
      <c r="BP3" s="16"/>
      <c r="BQ3" s="16"/>
      <c r="BR3" s="16"/>
      <c r="BS3" s="16"/>
      <c r="BT3" s="16"/>
      <c r="BU3" s="16" t="s">
        <v>128</v>
      </c>
      <c r="BV3" s="16"/>
      <c r="BW3" s="16" t="s">
        <v>125</v>
      </c>
      <c r="BX3" s="16"/>
      <c r="BY3" s="16"/>
      <c r="BZ3" s="16"/>
      <c r="CA3" s="19"/>
      <c r="CB3" s="19"/>
      <c r="CC3" s="16" t="s">
        <v>153</v>
      </c>
      <c r="CD3" s="16"/>
      <c r="CE3" s="16" t="s">
        <v>152</v>
      </c>
      <c r="CF3" s="16"/>
      <c r="CG3" s="19"/>
      <c r="CH3" s="42" t="s">
        <v>125</v>
      </c>
      <c r="CI3" s="16"/>
      <c r="CJ3" s="16"/>
      <c r="CK3" s="16"/>
      <c r="CL3" s="42" t="s">
        <v>125</v>
      </c>
      <c r="CM3" s="16"/>
      <c r="CN3" s="43" t="s">
        <v>125</v>
      </c>
      <c r="CO3" s="43"/>
      <c r="CP3" s="16" t="s">
        <v>154</v>
      </c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41" t="s">
        <v>141</v>
      </c>
      <c r="DJ3" s="19"/>
      <c r="DK3" s="41"/>
      <c r="DL3" s="41"/>
      <c r="DM3" s="41"/>
      <c r="DN3" s="41"/>
      <c r="DP3" s="16"/>
      <c r="DQ3" s="16"/>
      <c r="DR3" s="16"/>
      <c r="DS3" s="16"/>
      <c r="DU3" s="16"/>
    </row>
    <row r="4" spans="1:126">
      <c r="B4" s="5" t="s">
        <v>7</v>
      </c>
      <c r="C4" s="2" t="s">
        <v>9</v>
      </c>
      <c r="D4" s="47" t="s">
        <v>35</v>
      </c>
      <c r="E4" s="2" t="s">
        <v>9</v>
      </c>
      <c r="F4" s="16" t="s">
        <v>82</v>
      </c>
      <c r="G4" s="16" t="s">
        <v>9</v>
      </c>
      <c r="H4" s="2"/>
      <c r="I4" s="2" t="s">
        <v>37</v>
      </c>
      <c r="J4" s="2" t="s">
        <v>9</v>
      </c>
      <c r="K4" s="2" t="s">
        <v>38</v>
      </c>
      <c r="L4" s="2" t="s">
        <v>9</v>
      </c>
      <c r="M4" s="2"/>
      <c r="N4" s="2" t="s">
        <v>127</v>
      </c>
      <c r="O4" s="2" t="s">
        <v>9</v>
      </c>
      <c r="P4" s="2" t="s">
        <v>40</v>
      </c>
      <c r="Q4" s="2" t="s">
        <v>9</v>
      </c>
      <c r="R4" s="2" t="s">
        <v>139</v>
      </c>
      <c r="S4" s="2" t="s">
        <v>9</v>
      </c>
      <c r="T4" s="38" t="s">
        <v>142</v>
      </c>
      <c r="U4" s="2" t="s">
        <v>9</v>
      </c>
      <c r="V4" s="16" t="s">
        <v>74</v>
      </c>
      <c r="W4" s="16" t="s">
        <v>9</v>
      </c>
      <c r="X4" s="1" t="s">
        <v>144</v>
      </c>
      <c r="Y4" s="2" t="s">
        <v>9</v>
      </c>
      <c r="Z4" s="2"/>
      <c r="AA4" s="2" t="s">
        <v>43</v>
      </c>
      <c r="AB4" s="2" t="s">
        <v>9</v>
      </c>
      <c r="AC4" s="2" t="s">
        <v>44</v>
      </c>
      <c r="AD4" s="2" t="s">
        <v>9</v>
      </c>
      <c r="AF4" s="38" t="s">
        <v>147</v>
      </c>
      <c r="AG4" s="2" t="s">
        <v>9</v>
      </c>
      <c r="AH4" s="2" t="s">
        <v>46</v>
      </c>
      <c r="AI4" s="2" t="s">
        <v>9</v>
      </c>
      <c r="AJ4" s="1" t="s">
        <v>91</v>
      </c>
      <c r="AK4" s="16" t="s">
        <v>9</v>
      </c>
      <c r="AL4" s="40" t="s">
        <v>46</v>
      </c>
      <c r="AM4" s="16" t="s">
        <v>9</v>
      </c>
      <c r="AO4" s="38" t="s">
        <v>148</v>
      </c>
      <c r="AP4" s="12" t="s">
        <v>9</v>
      </c>
      <c r="AQ4" s="38" t="s">
        <v>149</v>
      </c>
      <c r="AR4" s="2" t="s">
        <v>9</v>
      </c>
      <c r="AS4" s="38" t="s">
        <v>47</v>
      </c>
      <c r="AT4" s="2" t="s">
        <v>9</v>
      </c>
      <c r="AU4" s="12" t="s">
        <v>64</v>
      </c>
      <c r="AV4" s="12" t="s">
        <v>9</v>
      </c>
      <c r="AW4" s="16" t="s">
        <v>75</v>
      </c>
      <c r="AX4" s="16" t="s">
        <v>9</v>
      </c>
      <c r="AY4" s="16" t="s">
        <v>76</v>
      </c>
      <c r="AZ4" s="16" t="s">
        <v>9</v>
      </c>
      <c r="BA4" s="38" t="s">
        <v>77</v>
      </c>
      <c r="BB4" s="16" t="s">
        <v>9</v>
      </c>
      <c r="BC4" s="38" t="s">
        <v>48</v>
      </c>
      <c r="BD4" s="2" t="s">
        <v>9</v>
      </c>
      <c r="BF4" s="2" t="s">
        <v>49</v>
      </c>
      <c r="BG4" s="2" t="s">
        <v>9</v>
      </c>
      <c r="BI4" s="38" t="s">
        <v>51</v>
      </c>
      <c r="BJ4" s="2" t="s">
        <v>9</v>
      </c>
      <c r="BK4" s="38" t="s">
        <v>52</v>
      </c>
      <c r="BL4" s="2" t="s">
        <v>9</v>
      </c>
      <c r="BM4" s="16"/>
      <c r="BN4" s="1" t="s">
        <v>53</v>
      </c>
      <c r="BO4" s="2" t="s">
        <v>9</v>
      </c>
      <c r="BP4" s="1" t="s">
        <v>65</v>
      </c>
      <c r="BQ4" s="12" t="s">
        <v>9</v>
      </c>
      <c r="BR4" s="2" t="s">
        <v>56</v>
      </c>
      <c r="BS4" s="2" t="s">
        <v>9</v>
      </c>
      <c r="BT4" s="16"/>
      <c r="BU4" s="38" t="s">
        <v>151</v>
      </c>
      <c r="BV4" s="2" t="s">
        <v>9</v>
      </c>
      <c r="BW4" s="38" t="s">
        <v>61</v>
      </c>
      <c r="BX4" s="12" t="s">
        <v>9</v>
      </c>
      <c r="BY4" s="16"/>
      <c r="BZ4" s="2" t="s">
        <v>57</v>
      </c>
      <c r="CA4" s="2" t="s">
        <v>9</v>
      </c>
      <c r="CB4" s="16"/>
      <c r="CC4" s="38" t="s">
        <v>58</v>
      </c>
      <c r="CD4" s="2" t="s">
        <v>9</v>
      </c>
      <c r="CE4" s="38" t="s">
        <v>92</v>
      </c>
      <c r="CF4" s="16" t="s">
        <v>9</v>
      </c>
      <c r="CG4" s="16"/>
      <c r="CH4" s="38" t="s">
        <v>59</v>
      </c>
      <c r="CI4" s="2" t="s">
        <v>9</v>
      </c>
      <c r="CJ4" s="16" t="s">
        <v>80</v>
      </c>
      <c r="CK4" s="16" t="s">
        <v>9</v>
      </c>
      <c r="CL4" s="39" t="s">
        <v>81</v>
      </c>
      <c r="CM4" s="21" t="s">
        <v>9</v>
      </c>
      <c r="CN4" s="38" t="s">
        <v>84</v>
      </c>
      <c r="CO4" s="43" t="s">
        <v>9</v>
      </c>
      <c r="CP4" s="38" t="s">
        <v>62</v>
      </c>
      <c r="CQ4" s="12" t="s">
        <v>9</v>
      </c>
      <c r="CR4" s="1" t="s">
        <v>63</v>
      </c>
      <c r="CS4" s="12" t="s">
        <v>9</v>
      </c>
      <c r="CT4" s="1" t="s">
        <v>84</v>
      </c>
      <c r="CU4" s="16" t="s">
        <v>9</v>
      </c>
      <c r="CV4" s="1" t="s">
        <v>85</v>
      </c>
      <c r="CW4" s="16" t="s">
        <v>9</v>
      </c>
      <c r="CX4" s="1" t="s">
        <v>86</v>
      </c>
      <c r="CY4" s="16" t="s">
        <v>9</v>
      </c>
      <c r="CZ4" s="1" t="s">
        <v>87</v>
      </c>
      <c r="DA4" s="16" t="s">
        <v>9</v>
      </c>
      <c r="DB4" s="1" t="s">
        <v>88</v>
      </c>
      <c r="DC4" s="16" t="s">
        <v>9</v>
      </c>
      <c r="DD4" s="1" t="s">
        <v>89</v>
      </c>
      <c r="DE4" s="16" t="s">
        <v>9</v>
      </c>
      <c r="DF4" s="1" t="s">
        <v>90</v>
      </c>
      <c r="DG4" s="16" t="s">
        <v>9</v>
      </c>
      <c r="DH4" s="16"/>
      <c r="DI4" s="40" t="s">
        <v>145</v>
      </c>
      <c r="DJ4" s="2" t="s">
        <v>9</v>
      </c>
      <c r="DK4" s="21" t="s">
        <v>93</v>
      </c>
      <c r="DL4" s="21" t="s">
        <v>9</v>
      </c>
      <c r="DM4" s="21" t="s">
        <v>94</v>
      </c>
      <c r="DN4" s="21" t="s">
        <v>9</v>
      </c>
      <c r="DP4" s="21" t="s">
        <v>96</v>
      </c>
      <c r="DQ4" s="21" t="s">
        <v>9</v>
      </c>
      <c r="DR4" s="21" t="s">
        <v>97</v>
      </c>
      <c r="DS4" s="21" t="s">
        <v>9</v>
      </c>
      <c r="DU4" s="21" t="s">
        <v>98</v>
      </c>
      <c r="DV4" s="21" t="s">
        <v>9</v>
      </c>
    </row>
    <row r="5" spans="1:126">
      <c r="A5" s="1" t="s">
        <v>129</v>
      </c>
      <c r="B5" s="1">
        <v>20269</v>
      </c>
      <c r="C5" s="1">
        <v>100</v>
      </c>
      <c r="D5" s="1">
        <v>75882</v>
      </c>
      <c r="E5" s="1">
        <v>100</v>
      </c>
      <c r="F5" s="1">
        <v>41848</v>
      </c>
      <c r="G5" s="1">
        <v>100</v>
      </c>
      <c r="I5" s="1">
        <v>16815</v>
      </c>
      <c r="J5" s="1">
        <v>100</v>
      </c>
      <c r="K5" s="1">
        <v>1376</v>
      </c>
      <c r="L5" s="1">
        <v>100</v>
      </c>
      <c r="N5" s="1">
        <v>46780</v>
      </c>
      <c r="O5" s="1">
        <v>100</v>
      </c>
      <c r="P5" s="1">
        <v>32951</v>
      </c>
      <c r="Q5" s="1">
        <v>100</v>
      </c>
      <c r="R5" s="1">
        <v>26505</v>
      </c>
      <c r="S5" s="1">
        <v>100</v>
      </c>
      <c r="T5" s="1">
        <v>57920</v>
      </c>
      <c r="U5" s="1">
        <v>100</v>
      </c>
      <c r="V5" s="1">
        <v>25711</v>
      </c>
      <c r="W5" s="1">
        <v>100</v>
      </c>
      <c r="X5" s="1">
        <v>83572</v>
      </c>
      <c r="Y5" s="1">
        <v>100</v>
      </c>
      <c r="AA5" s="5">
        <v>36528</v>
      </c>
      <c r="AB5" s="1">
        <v>100</v>
      </c>
      <c r="AC5" s="1">
        <v>78729</v>
      </c>
      <c r="AD5" s="1">
        <v>100</v>
      </c>
      <c r="AF5" s="1">
        <v>44445</v>
      </c>
      <c r="AG5" s="1">
        <v>100</v>
      </c>
      <c r="AH5" s="1">
        <v>64679</v>
      </c>
      <c r="AI5" s="1">
        <v>100</v>
      </c>
      <c r="AJ5" s="1">
        <v>46417</v>
      </c>
      <c r="AK5" s="1">
        <v>100</v>
      </c>
      <c r="AL5" s="1">
        <v>57061</v>
      </c>
      <c r="AM5" s="1">
        <v>100</v>
      </c>
      <c r="AO5" s="1">
        <v>451235</v>
      </c>
      <c r="AP5" s="1">
        <v>100</v>
      </c>
      <c r="AQ5" s="1">
        <v>379136</v>
      </c>
      <c r="AR5" s="1">
        <v>100</v>
      </c>
      <c r="AS5" s="1">
        <v>114697</v>
      </c>
      <c r="AT5" s="1">
        <v>100</v>
      </c>
      <c r="AU5" s="1">
        <v>705700</v>
      </c>
      <c r="AV5" s="1">
        <v>100</v>
      </c>
      <c r="AW5" s="1">
        <v>705700</v>
      </c>
      <c r="AX5" s="1">
        <v>100</v>
      </c>
      <c r="AY5" s="1">
        <v>705700</v>
      </c>
      <c r="AZ5" s="1">
        <v>100</v>
      </c>
      <c r="BA5" s="1">
        <v>19192</v>
      </c>
      <c r="BB5" s="1">
        <v>100</v>
      </c>
      <c r="BC5" s="5">
        <v>171655</v>
      </c>
      <c r="BD5" s="1">
        <v>100</v>
      </c>
      <c r="BF5" s="1">
        <v>18117</v>
      </c>
      <c r="BG5" s="1">
        <v>100</v>
      </c>
      <c r="BI5" s="1">
        <v>29149</v>
      </c>
      <c r="BJ5" s="1">
        <v>100</v>
      </c>
      <c r="BK5" s="1">
        <v>22976</v>
      </c>
      <c r="BL5" s="1">
        <v>100</v>
      </c>
      <c r="BN5" s="1">
        <v>23213</v>
      </c>
      <c r="BO5" s="1">
        <v>100</v>
      </c>
      <c r="BP5" s="1">
        <v>39758</v>
      </c>
      <c r="BQ5" s="1">
        <v>100</v>
      </c>
      <c r="BR5" s="1">
        <v>11433</v>
      </c>
      <c r="BS5" s="1">
        <v>100</v>
      </c>
      <c r="BU5" s="1">
        <v>92158</v>
      </c>
      <c r="BV5" s="1">
        <v>100</v>
      </c>
      <c r="BW5" s="1">
        <v>49797</v>
      </c>
      <c r="BX5" s="1">
        <v>100</v>
      </c>
      <c r="BZ5" s="5">
        <v>15190</v>
      </c>
      <c r="CA5" s="1">
        <v>100</v>
      </c>
      <c r="CC5" s="1">
        <v>16724</v>
      </c>
      <c r="CD5" s="1">
        <v>100</v>
      </c>
      <c r="CE5" s="1">
        <v>128562</v>
      </c>
      <c r="CF5" s="1">
        <v>100</v>
      </c>
      <c r="CH5" s="1">
        <v>197007</v>
      </c>
      <c r="CI5" s="1">
        <v>100</v>
      </c>
      <c r="CJ5" s="1">
        <v>192676</v>
      </c>
      <c r="CK5" s="1">
        <v>100</v>
      </c>
      <c r="CL5" s="20">
        <v>76058</v>
      </c>
      <c r="CM5" s="20">
        <v>100</v>
      </c>
      <c r="CN5" s="1">
        <f>38955+12301+4581+1665</f>
        <v>57502</v>
      </c>
      <c r="CO5" s="1">
        <v>100</v>
      </c>
      <c r="CP5" s="1">
        <f>51192+19973</f>
        <v>71165</v>
      </c>
      <c r="CQ5" s="1">
        <v>100</v>
      </c>
      <c r="CR5" s="1">
        <v>82296</v>
      </c>
      <c r="CS5" s="1">
        <v>100</v>
      </c>
      <c r="CT5" s="1">
        <v>82296</v>
      </c>
      <c r="CU5" s="1">
        <v>100</v>
      </c>
      <c r="CV5" s="1">
        <v>82296</v>
      </c>
      <c r="CW5" s="1">
        <v>100</v>
      </c>
      <c r="CX5" s="1">
        <v>82296</v>
      </c>
      <c r="CY5" s="1">
        <v>100</v>
      </c>
      <c r="CZ5" s="1">
        <v>82296</v>
      </c>
      <c r="DA5" s="1">
        <v>100</v>
      </c>
      <c r="DB5" s="1">
        <v>82296</v>
      </c>
      <c r="DC5" s="1">
        <v>100</v>
      </c>
      <c r="DD5" s="1">
        <v>82296</v>
      </c>
      <c r="DE5" s="1">
        <v>100</v>
      </c>
      <c r="DF5" s="1">
        <v>82296</v>
      </c>
      <c r="DG5" s="1">
        <v>100</v>
      </c>
      <c r="DI5" s="1">
        <v>51171</v>
      </c>
      <c r="DJ5" s="1">
        <v>100</v>
      </c>
      <c r="DK5" s="20">
        <v>192676</v>
      </c>
      <c r="DL5" s="20">
        <v>100</v>
      </c>
      <c r="DM5" s="20">
        <v>192676</v>
      </c>
      <c r="DN5" s="20">
        <v>100</v>
      </c>
      <c r="DP5" s="20">
        <v>192676</v>
      </c>
      <c r="DQ5" s="20">
        <v>100</v>
      </c>
      <c r="DR5" s="20">
        <v>192676</v>
      </c>
      <c r="DS5" s="20">
        <v>100</v>
      </c>
      <c r="DU5" s="20">
        <v>192676</v>
      </c>
      <c r="DV5" s="20">
        <v>100</v>
      </c>
    </row>
    <row r="6" spans="1:126">
      <c r="A6" s="1" t="s">
        <v>130</v>
      </c>
      <c r="B6" s="4"/>
      <c r="D6" s="4">
        <v>0</v>
      </c>
      <c r="F6" s="4">
        <v>0</v>
      </c>
      <c r="I6" s="4">
        <v>0</v>
      </c>
      <c r="N6" s="4">
        <v>1832</v>
      </c>
      <c r="P6" s="4">
        <v>355</v>
      </c>
      <c r="R6" s="4">
        <v>387</v>
      </c>
      <c r="T6" s="4">
        <v>911</v>
      </c>
      <c r="V6" s="4">
        <v>0</v>
      </c>
      <c r="X6" s="4">
        <v>682</v>
      </c>
      <c r="AA6" s="4">
        <v>0</v>
      </c>
      <c r="AC6" s="4">
        <v>0</v>
      </c>
      <c r="AF6" s="4">
        <v>0</v>
      </c>
      <c r="AJ6" s="4">
        <v>0</v>
      </c>
      <c r="AL6" s="4">
        <v>1693</v>
      </c>
      <c r="AO6" s="4">
        <v>0</v>
      </c>
      <c r="AQ6" s="4">
        <v>0</v>
      </c>
      <c r="AS6" s="4">
        <v>1387</v>
      </c>
      <c r="AU6" s="4">
        <v>0</v>
      </c>
      <c r="AW6" s="4">
        <v>0</v>
      </c>
      <c r="AY6" s="4">
        <v>0</v>
      </c>
      <c r="BA6" s="4">
        <v>119</v>
      </c>
      <c r="BC6" s="4">
        <v>0</v>
      </c>
      <c r="BI6" s="4">
        <v>0</v>
      </c>
      <c r="BK6" s="4">
        <v>0</v>
      </c>
      <c r="BN6" s="4">
        <v>0</v>
      </c>
      <c r="BP6" s="4">
        <v>0</v>
      </c>
      <c r="BR6" s="4">
        <v>0</v>
      </c>
      <c r="BU6" s="4">
        <v>215</v>
      </c>
      <c r="BW6" s="4">
        <v>0</v>
      </c>
      <c r="BZ6" s="4">
        <v>0</v>
      </c>
      <c r="CC6" s="4">
        <v>0</v>
      </c>
      <c r="CE6" s="4">
        <v>0</v>
      </c>
      <c r="CH6" s="4">
        <v>0</v>
      </c>
      <c r="CJ6" s="4">
        <v>0</v>
      </c>
      <c r="CL6" s="4">
        <v>0</v>
      </c>
      <c r="CM6" s="20"/>
      <c r="CN6" s="4">
        <f>34350-29548</f>
        <v>4802</v>
      </c>
      <c r="CP6" s="4">
        <f>8690+768+2012+322+11940+2632</f>
        <v>26364</v>
      </c>
      <c r="CR6" s="4">
        <v>0</v>
      </c>
      <c r="CT6" s="4">
        <v>0</v>
      </c>
      <c r="CV6" s="4">
        <v>0</v>
      </c>
      <c r="CX6" s="4">
        <v>0</v>
      </c>
      <c r="CZ6" s="4">
        <v>0</v>
      </c>
      <c r="DB6" s="4">
        <v>0</v>
      </c>
      <c r="DD6" s="4">
        <v>0</v>
      </c>
      <c r="DF6" s="4">
        <v>0</v>
      </c>
      <c r="DI6" s="4">
        <v>0</v>
      </c>
      <c r="DK6" s="4">
        <v>0</v>
      </c>
      <c r="DL6" s="20"/>
      <c r="DM6" s="4">
        <v>0</v>
      </c>
      <c r="DN6" s="20"/>
      <c r="DP6" s="4">
        <v>0</v>
      </c>
      <c r="DQ6" s="20"/>
      <c r="DR6" s="4">
        <v>0</v>
      </c>
      <c r="DS6" s="20"/>
      <c r="DU6" s="4">
        <v>0</v>
      </c>
      <c r="DV6" s="20"/>
    </row>
    <row r="7" spans="1:126">
      <c r="A7" s="1" t="s">
        <v>131</v>
      </c>
      <c r="B7" s="1">
        <f>SUM(B5:B6)</f>
        <v>20269</v>
      </c>
      <c r="D7" s="1">
        <f>SUM(D5:D6)</f>
        <v>75882</v>
      </c>
      <c r="F7" s="1">
        <f>SUM(F5:F6)</f>
        <v>41848</v>
      </c>
      <c r="I7" s="1">
        <f>SUM(I5:I6)</f>
        <v>16815</v>
      </c>
      <c r="N7" s="1">
        <f>SUM(N5:N6)</f>
        <v>48612</v>
      </c>
      <c r="P7" s="1">
        <f>SUM(P5:P6)</f>
        <v>33306</v>
      </c>
      <c r="R7" s="1">
        <f>SUM(R5:R6)</f>
        <v>26892</v>
      </c>
      <c r="T7" s="1">
        <f>SUM(T5:T6)</f>
        <v>58831</v>
      </c>
      <c r="V7" s="1">
        <f>SUM(V5:V6)</f>
        <v>25711</v>
      </c>
      <c r="X7" s="1">
        <f>SUM(X5:X6)</f>
        <v>84254</v>
      </c>
      <c r="AA7" s="1">
        <f>SUM(AA5:AA6)</f>
        <v>36528</v>
      </c>
      <c r="AC7" s="1">
        <f>SUM(AC5:AC6)</f>
        <v>78729</v>
      </c>
      <c r="AF7" s="1">
        <f>SUM(AF5:AF6)</f>
        <v>44445</v>
      </c>
      <c r="AJ7" s="1">
        <f>SUM(AJ5:AJ6)</f>
        <v>46417</v>
      </c>
      <c r="AL7" s="1">
        <f>SUM(AL5:AL6)</f>
        <v>58754</v>
      </c>
      <c r="AO7" s="1">
        <f>SUM(AO5:AO6)</f>
        <v>451235</v>
      </c>
      <c r="AQ7" s="1">
        <f>SUM(AQ5:AQ6)</f>
        <v>379136</v>
      </c>
      <c r="AS7" s="1">
        <f>SUM(AS5:AS6)</f>
        <v>116084</v>
      </c>
      <c r="AU7" s="1">
        <f>SUM(AU5:AU6)</f>
        <v>705700</v>
      </c>
      <c r="AW7" s="1">
        <f>SUM(AW5:AW6)</f>
        <v>705700</v>
      </c>
      <c r="AY7" s="1">
        <f>SUM(AY5:AY6)</f>
        <v>705700</v>
      </c>
      <c r="BA7" s="1">
        <f>SUM(BA5:BA6)</f>
        <v>19311</v>
      </c>
      <c r="BC7" s="1">
        <f>SUM(BC5:BC6)</f>
        <v>171655</v>
      </c>
      <c r="BI7" s="1">
        <f>SUM(BI5:BI6)</f>
        <v>29149</v>
      </c>
      <c r="BK7" s="1">
        <f>SUM(BK5:BK6)</f>
        <v>22976</v>
      </c>
      <c r="BN7" s="1">
        <f>SUM(BN5:BN6)</f>
        <v>23213</v>
      </c>
      <c r="BP7" s="1">
        <f>SUM(BP5:BP6)</f>
        <v>39758</v>
      </c>
      <c r="BR7" s="1">
        <f>SUM(BR5:BR6)</f>
        <v>11433</v>
      </c>
      <c r="BU7" s="1">
        <f>SUM(BU5:BU6)</f>
        <v>92373</v>
      </c>
      <c r="BW7" s="1">
        <f>SUM(BW5:BW6)</f>
        <v>49797</v>
      </c>
      <c r="BZ7" s="1">
        <f>SUM(BZ5:BZ6)</f>
        <v>15190</v>
      </c>
      <c r="CC7" s="1">
        <f>SUM(CC5:CC6)</f>
        <v>16724</v>
      </c>
      <c r="CE7" s="1">
        <f>SUM(CE5:CE6)</f>
        <v>128562</v>
      </c>
      <c r="CH7" s="1">
        <f>SUM(CH5:CH6)</f>
        <v>197007</v>
      </c>
      <c r="CJ7" s="1">
        <f>SUM(CJ5:CJ6)</f>
        <v>192676</v>
      </c>
      <c r="CL7" s="1">
        <f>SUM(CL5:CL6)</f>
        <v>76058</v>
      </c>
      <c r="CM7" s="20"/>
      <c r="CN7" s="1">
        <f>SUM(CN5:CN6)</f>
        <v>62304</v>
      </c>
      <c r="CP7" s="1">
        <f>SUM(CP5:CP6)</f>
        <v>97529</v>
      </c>
      <c r="CR7" s="1">
        <f>SUM(CR5:CR6)</f>
        <v>82296</v>
      </c>
      <c r="CT7" s="1">
        <f>SUM(CT5:CT6)</f>
        <v>82296</v>
      </c>
      <c r="CV7" s="1">
        <f>SUM(CV5:CV6)</f>
        <v>82296</v>
      </c>
      <c r="CX7" s="1">
        <f>SUM(CX5:CX6)</f>
        <v>82296</v>
      </c>
      <c r="CZ7" s="1">
        <f>SUM(CZ5:CZ6)</f>
        <v>82296</v>
      </c>
      <c r="DB7" s="1">
        <f>SUM(DB5:DB6)</f>
        <v>82296</v>
      </c>
      <c r="DD7" s="1">
        <f>SUM(DD5:DD6)</f>
        <v>82296</v>
      </c>
      <c r="DF7" s="1">
        <f>SUM(DF5:DF6)</f>
        <v>82296</v>
      </c>
      <c r="DI7" s="1">
        <f>SUM(DI5:DI6)</f>
        <v>51171</v>
      </c>
      <c r="DK7" s="1">
        <f>SUM(DK5:DK6)</f>
        <v>192676</v>
      </c>
      <c r="DL7" s="20"/>
      <c r="DM7" s="1">
        <f>SUM(DM5:DM6)</f>
        <v>192676</v>
      </c>
      <c r="DN7" s="20"/>
      <c r="DP7" s="1">
        <f>SUM(DP5:DP6)</f>
        <v>192676</v>
      </c>
      <c r="DQ7" s="20"/>
      <c r="DR7" s="1">
        <f>SUM(DR5:DR6)</f>
        <v>192676</v>
      </c>
      <c r="DS7" s="20"/>
      <c r="DU7" s="1">
        <f>SUM(DU5:DU6)</f>
        <v>192676</v>
      </c>
      <c r="DV7" s="20"/>
    </row>
    <row r="8" spans="1:126">
      <c r="A8" s="1" t="s">
        <v>0</v>
      </c>
      <c r="B8" s="4">
        <v>-16324</v>
      </c>
      <c r="D8" s="4">
        <v>-55053</v>
      </c>
      <c r="F8" s="4">
        <v>-29856</v>
      </c>
      <c r="I8" s="4">
        <v>-4999</v>
      </c>
      <c r="K8" s="1">
        <v>-80</v>
      </c>
      <c r="N8" s="4">
        <v>-11948</v>
      </c>
      <c r="P8" s="4">
        <v>-10990</v>
      </c>
      <c r="R8" s="4">
        <v>-8585</v>
      </c>
      <c r="T8" s="4">
        <v>-19608</v>
      </c>
      <c r="V8" s="4">
        <v>-5261</v>
      </c>
      <c r="X8" s="4">
        <v>-14140</v>
      </c>
      <c r="AA8" s="30">
        <v>-17975</v>
      </c>
      <c r="AC8" s="4">
        <v>-58022</v>
      </c>
      <c r="AF8" s="4">
        <v>-30505</v>
      </c>
      <c r="AH8" s="1">
        <v>-53881</v>
      </c>
      <c r="AJ8" s="4">
        <v>-31546</v>
      </c>
      <c r="AL8" s="4"/>
      <c r="AO8" s="4">
        <f>-AO102</f>
        <v>-353971</v>
      </c>
      <c r="AQ8" s="4">
        <f>-AQ103</f>
        <v>-298351</v>
      </c>
      <c r="AS8" s="4">
        <f>-AS102</f>
        <v>-90642</v>
      </c>
      <c r="AU8" s="4"/>
      <c r="AW8" s="4"/>
      <c r="AY8" s="4"/>
      <c r="BA8" s="4">
        <f>-BA102</f>
        <v>-3016</v>
      </c>
      <c r="BC8" s="30">
        <f>-BC102</f>
        <v>-122487</v>
      </c>
      <c r="BF8" s="1">
        <v>-18730</v>
      </c>
      <c r="BI8" s="4">
        <v>-10055</v>
      </c>
      <c r="BK8" s="4">
        <v>-6602</v>
      </c>
      <c r="BN8" s="4">
        <v>-5043</v>
      </c>
      <c r="BP8" s="4">
        <v>-16447</v>
      </c>
      <c r="BR8" s="4">
        <v>-4470</v>
      </c>
      <c r="BU8" s="4">
        <v>-48111</v>
      </c>
      <c r="BW8" s="4">
        <v>-29245</v>
      </c>
      <c r="BZ8" s="30">
        <v>-3312</v>
      </c>
      <c r="CC8" s="4">
        <v>-6801</v>
      </c>
      <c r="CE8" s="4">
        <v>-52529</v>
      </c>
      <c r="CH8" s="4">
        <v>-161407</v>
      </c>
      <c r="CJ8" s="4">
        <v>-157518</v>
      </c>
      <c r="CL8" s="22">
        <v>-60784</v>
      </c>
      <c r="CM8" s="20"/>
      <c r="CN8" s="4">
        <f>-18359-5123</f>
        <v>-23482</v>
      </c>
      <c r="CP8" s="4">
        <f>-15653-3539-13692-5849</f>
        <v>-38733</v>
      </c>
      <c r="CR8" s="4"/>
      <c r="CT8" s="4"/>
      <c r="CV8" s="4"/>
      <c r="CX8" s="4"/>
      <c r="CZ8" s="4"/>
      <c r="DB8" s="4"/>
      <c r="DD8" s="4"/>
      <c r="DF8" s="4"/>
      <c r="DI8" s="4">
        <f>-DI102</f>
        <v>-9439</v>
      </c>
      <c r="DK8" s="22">
        <v>-157518</v>
      </c>
      <c r="DL8" s="20"/>
      <c r="DM8" s="22">
        <v>-157518</v>
      </c>
      <c r="DN8" s="20"/>
      <c r="DP8" s="22">
        <v>-157518</v>
      </c>
      <c r="DQ8" s="20"/>
      <c r="DR8" s="22">
        <v>-157518</v>
      </c>
      <c r="DS8" s="20"/>
      <c r="DU8" s="22">
        <v>-157518</v>
      </c>
      <c r="DV8" s="20"/>
    </row>
    <row r="9" spans="1:126">
      <c r="A9" s="1" t="s">
        <v>1</v>
      </c>
      <c r="B9" s="1">
        <f>SUM(B7:B8)</f>
        <v>3945</v>
      </c>
      <c r="C9" s="3">
        <f>B9/B5</f>
        <v>0.19463219695100892</v>
      </c>
      <c r="D9" s="1">
        <f>SUM(D7:D8)</f>
        <v>20829</v>
      </c>
      <c r="E9" s="3">
        <f>D9/D5</f>
        <v>0.2744919743812762</v>
      </c>
      <c r="F9" s="1">
        <f>SUM(F7:F8)</f>
        <v>11992</v>
      </c>
      <c r="G9" s="3">
        <f>F9/F5</f>
        <v>0.28656088701969029</v>
      </c>
      <c r="H9" s="3"/>
      <c r="I9" s="1">
        <f>SUM(I7:I8)</f>
        <v>11816</v>
      </c>
      <c r="J9" s="3">
        <f>I9/I5</f>
        <v>0.70270591733571219</v>
      </c>
      <c r="K9" s="1">
        <f>K5+K10</f>
        <v>1296</v>
      </c>
      <c r="L9" s="3">
        <f>K9/K5</f>
        <v>0.94186046511627908</v>
      </c>
      <c r="M9" s="3"/>
      <c r="N9" s="1">
        <f>SUM(N7:N8)</f>
        <v>36664</v>
      </c>
      <c r="O9" s="3">
        <f>N9/N5</f>
        <v>0.78375374091492089</v>
      </c>
      <c r="P9" s="1">
        <f>SUM(P7:P8)</f>
        <v>22316</v>
      </c>
      <c r="Q9" s="3">
        <f>P9/P5</f>
        <v>0.67724803496100272</v>
      </c>
      <c r="R9" s="1">
        <f>SUM(R7:R8)</f>
        <v>18307</v>
      </c>
      <c r="S9" s="3">
        <f>R9/R5</f>
        <v>0.69069986794944349</v>
      </c>
      <c r="T9" s="1">
        <f>SUM(T7:T8)</f>
        <v>39223</v>
      </c>
      <c r="U9" s="3">
        <f>T9/T5</f>
        <v>0.6771926795580111</v>
      </c>
      <c r="V9" s="1">
        <f>SUM(V7:V8)</f>
        <v>20450</v>
      </c>
      <c r="W9" s="3">
        <f>V9/V5</f>
        <v>0.79537940959122555</v>
      </c>
      <c r="X9" s="1">
        <f>SUM(X7:X8)</f>
        <v>70114</v>
      </c>
      <c r="Y9" s="3">
        <f>X9/X5</f>
        <v>0.83896520365672711</v>
      </c>
      <c r="Z9" s="3"/>
      <c r="AA9" s="1">
        <f>SUM(AA7:AA8)</f>
        <v>18553</v>
      </c>
      <c r="AB9" s="3">
        <f>AA9/AA5</f>
        <v>0.5079117389399912</v>
      </c>
      <c r="AC9" s="1">
        <f>SUM(AC7:AC8)</f>
        <v>20707</v>
      </c>
      <c r="AD9" s="3">
        <f>AC9/AC5</f>
        <v>0.26301616939120276</v>
      </c>
      <c r="AF9" s="1">
        <f>SUM(AF7:AF8)</f>
        <v>13940</v>
      </c>
      <c r="AG9" s="3">
        <f>AF9/AF5</f>
        <v>0.31364607942400718</v>
      </c>
      <c r="AH9" s="1">
        <f>AH5+AH10</f>
        <v>10798</v>
      </c>
      <c r="AI9" s="3">
        <f>AH9/AH5</f>
        <v>0.16694754093291486</v>
      </c>
      <c r="AJ9" s="1">
        <f>SUM(AJ7:AJ8)</f>
        <v>14871</v>
      </c>
      <c r="AK9" s="3">
        <f>AJ9/AJ5</f>
        <v>0.32037830967102571</v>
      </c>
      <c r="AM9" s="3">
        <f>AL9/AL5</f>
        <v>0</v>
      </c>
      <c r="AO9" s="1">
        <f>SUM(AO7:AO8)</f>
        <v>97264</v>
      </c>
      <c r="AP9" s="3">
        <f>AO9/AO5</f>
        <v>0.21555065542344898</v>
      </c>
      <c r="AQ9" s="1">
        <f>SUM(AQ7:AQ8)</f>
        <v>80785</v>
      </c>
      <c r="AR9" s="3">
        <f>AQ9/AQ5</f>
        <v>0.21307657410533423</v>
      </c>
      <c r="AS9" s="1">
        <f>SUM(AS7:AS8)</f>
        <v>25442</v>
      </c>
      <c r="AT9" s="3">
        <f>AS9/AS5</f>
        <v>0.2218192280530441</v>
      </c>
      <c r="AU9" s="1">
        <f>SUM(AU7:AU8)</f>
        <v>705700</v>
      </c>
      <c r="AV9" s="3">
        <f>AU9/AU5</f>
        <v>1</v>
      </c>
      <c r="AW9" s="1">
        <f>SUM(AW7:AW8)</f>
        <v>705700</v>
      </c>
      <c r="AX9" s="3">
        <f>AW9/AW5</f>
        <v>1</v>
      </c>
      <c r="AY9" s="1">
        <f>SUM(AY7:AY8)</f>
        <v>705700</v>
      </c>
      <c r="AZ9" s="3">
        <f>AY9/AY5</f>
        <v>1</v>
      </c>
      <c r="BA9" s="1">
        <f>SUM(BA7:BA8)</f>
        <v>16295</v>
      </c>
      <c r="BB9" s="3">
        <f>BA9/BA5</f>
        <v>0.84905168820341814</v>
      </c>
      <c r="BC9" s="1">
        <f>SUM(BC7:BC8)</f>
        <v>49168</v>
      </c>
      <c r="BD9" s="3">
        <f>BC9/BC5</f>
        <v>0.28643500043692288</v>
      </c>
      <c r="BF9" s="1">
        <f>BF5+BF10</f>
        <v>-613</v>
      </c>
      <c r="BG9" s="3">
        <f>BF9/BF5</f>
        <v>-3.3835623999558424E-2</v>
      </c>
      <c r="BI9" s="1">
        <f>SUM(BI7:BI8)</f>
        <v>19094</v>
      </c>
      <c r="BJ9" s="3">
        <f>BI9/BI5</f>
        <v>0.65504820062437819</v>
      </c>
      <c r="BK9" s="1">
        <f>SUM(BK7:BK8)</f>
        <v>16374</v>
      </c>
      <c r="BL9" s="3">
        <f>BK9/BK5</f>
        <v>0.71265668523676884</v>
      </c>
      <c r="BM9" s="3"/>
      <c r="BN9" s="1">
        <f>SUM(BN7:BN8)</f>
        <v>18170</v>
      </c>
      <c r="BO9" s="3">
        <f>BN9/BN5</f>
        <v>0.78275104467324341</v>
      </c>
      <c r="BP9" s="1">
        <f>SUM(BP7:BP8)</f>
        <v>23311</v>
      </c>
      <c r="BQ9" s="3">
        <f>BP9/BP5</f>
        <v>0.58632224961014134</v>
      </c>
      <c r="BR9" s="1">
        <f>SUM(BR7:BR8)</f>
        <v>6963</v>
      </c>
      <c r="BS9" s="3">
        <f>BR9/BR5</f>
        <v>0.60902650223038568</v>
      </c>
      <c r="BT9" s="3"/>
      <c r="BU9" s="1">
        <f>SUM(BU7:BU8)</f>
        <v>44262</v>
      </c>
      <c r="BV9" s="3">
        <f>BU9/BU5</f>
        <v>0.48028386032683001</v>
      </c>
      <c r="BW9" s="1">
        <f>SUM(BW7:BW8)</f>
        <v>20552</v>
      </c>
      <c r="BX9" s="3">
        <f>BW9/BW5</f>
        <v>0.41271562543928347</v>
      </c>
      <c r="BY9" s="3"/>
      <c r="BZ9" s="1">
        <f>SUM(BZ7:BZ8)</f>
        <v>11878</v>
      </c>
      <c r="CA9" s="3">
        <f>BZ9/BZ5</f>
        <v>0.78196181698485845</v>
      </c>
      <c r="CB9" s="3"/>
      <c r="CC9" s="1">
        <f>SUM(CC7:CC8)</f>
        <v>9923</v>
      </c>
      <c r="CD9" s="3">
        <f>CC9/CC5</f>
        <v>0.59333891413537432</v>
      </c>
      <c r="CE9" s="1">
        <f>SUM(CE7:CE8)</f>
        <v>76033</v>
      </c>
      <c r="CF9" s="3">
        <f>CE9/CE5</f>
        <v>0.59141114792862592</v>
      </c>
      <c r="CG9" s="3"/>
      <c r="CH9" s="1">
        <f>SUM(CH7:CH8)</f>
        <v>35600</v>
      </c>
      <c r="CI9" s="3">
        <f>CH9/CH5</f>
        <v>0.18070423893567233</v>
      </c>
      <c r="CJ9" s="1">
        <f>SUM(CJ7:CJ8)</f>
        <v>35158</v>
      </c>
      <c r="CK9" s="3">
        <f>CJ9/CJ5</f>
        <v>0.1824721293778156</v>
      </c>
      <c r="CL9" s="1">
        <f>SUM(CL7:CL8)</f>
        <v>15274</v>
      </c>
      <c r="CM9" s="23">
        <v>0.18</v>
      </c>
      <c r="CN9" s="1">
        <f>SUM(CN7:CN8)</f>
        <v>38822</v>
      </c>
      <c r="CO9" s="3">
        <f>CN9/CN5</f>
        <v>0.67514173420054957</v>
      </c>
      <c r="CP9" s="1">
        <f>SUM(CP7:CP8)</f>
        <v>58796</v>
      </c>
      <c r="CQ9" s="3">
        <f>CP9/CP5</f>
        <v>0.82619265088175364</v>
      </c>
      <c r="CR9" s="1">
        <f>SUM(CR7:CR8)</f>
        <v>82296</v>
      </c>
      <c r="CS9" s="3">
        <f>CR9/CR5</f>
        <v>1</v>
      </c>
      <c r="CT9" s="1">
        <f>SUM(CT7:CT8)</f>
        <v>82296</v>
      </c>
      <c r="CU9" s="3">
        <f>CT9/CT5</f>
        <v>1</v>
      </c>
      <c r="CV9" s="1">
        <f>SUM(CV7:CV8)</f>
        <v>82296</v>
      </c>
      <c r="CW9" s="3">
        <f>CV9/CV5</f>
        <v>1</v>
      </c>
      <c r="CX9" s="1">
        <f>SUM(CX7:CX8)</f>
        <v>82296</v>
      </c>
      <c r="CY9" s="3">
        <f>CX9/CX5</f>
        <v>1</v>
      </c>
      <c r="CZ9" s="1">
        <f>SUM(CZ7:CZ8)</f>
        <v>82296</v>
      </c>
      <c r="DA9" s="3">
        <f>CZ9/CZ5</f>
        <v>1</v>
      </c>
      <c r="DB9" s="1">
        <f>SUM(DB7:DB8)</f>
        <v>82296</v>
      </c>
      <c r="DC9" s="3">
        <f>DB9/DB5</f>
        <v>1</v>
      </c>
      <c r="DD9" s="1">
        <f>SUM(DD7:DD8)</f>
        <v>82296</v>
      </c>
      <c r="DE9" s="3">
        <f>DD9/DD5</f>
        <v>1</v>
      </c>
      <c r="DF9" s="1">
        <f>SUM(DF7:DF8)</f>
        <v>82296</v>
      </c>
      <c r="DG9" s="3">
        <f>DF9/DF5</f>
        <v>1</v>
      </c>
      <c r="DH9" s="3"/>
      <c r="DI9" s="1">
        <f>SUM(DI7:DI8)</f>
        <v>41732</v>
      </c>
      <c r="DJ9" s="3">
        <f>DI9/DI5</f>
        <v>0.81554005198256829</v>
      </c>
      <c r="DK9" s="1">
        <f>SUM(DK7:DK8)</f>
        <v>35158</v>
      </c>
      <c r="DL9" s="23">
        <v>0.18</v>
      </c>
      <c r="DM9" s="1">
        <f>SUM(DM7:DM8)</f>
        <v>35158</v>
      </c>
      <c r="DN9" s="23">
        <v>0.18</v>
      </c>
      <c r="DP9" s="1">
        <f>SUM(DP7:DP8)</f>
        <v>35158</v>
      </c>
      <c r="DQ9" s="23">
        <v>0.18</v>
      </c>
      <c r="DR9" s="1">
        <f>SUM(DR7:DR8)</f>
        <v>35158</v>
      </c>
      <c r="DS9" s="23">
        <v>0.18</v>
      </c>
      <c r="DU9" s="1">
        <f>SUM(DU7:DU8)</f>
        <v>35158</v>
      </c>
      <c r="DV9" s="23">
        <v>0.18</v>
      </c>
    </row>
    <row r="10" spans="1:126" s="6" customFormat="1">
      <c r="A10" s="6" t="s">
        <v>73</v>
      </c>
      <c r="K10" s="6">
        <v>-80</v>
      </c>
      <c r="AH10" s="6">
        <v>-53881</v>
      </c>
      <c r="AL10" s="6">
        <f>-17041-7208-15428</f>
        <v>-39677</v>
      </c>
      <c r="AO10" s="6">
        <f>-353199-28386-14675-5278+AO102</f>
        <v>-47567</v>
      </c>
      <c r="AQ10" s="6">
        <f>-298351-27527-7047-3441-13070+459+AQ103</f>
        <v>-50626</v>
      </c>
      <c r="AS10" s="6">
        <f>-90003-5301+AS102</f>
        <v>-4662</v>
      </c>
      <c r="AU10" s="6">
        <v>-516800</v>
      </c>
      <c r="AW10" s="6">
        <v>-516800</v>
      </c>
      <c r="AY10" s="6">
        <v>-516800</v>
      </c>
      <c r="BA10" s="6">
        <f>-11827+2954+BA102</f>
        <v>-5857</v>
      </c>
      <c r="BC10" s="6">
        <f>-121113-21687-1633+BC102</f>
        <v>-21946</v>
      </c>
      <c r="BF10" s="6">
        <v>-18730</v>
      </c>
      <c r="CC10" s="6">
        <v>-5998</v>
      </c>
      <c r="CL10" s="29"/>
      <c r="CM10" s="29"/>
      <c r="CN10" s="6">
        <f>-14842-9714</f>
        <v>-24556</v>
      </c>
      <c r="CP10" s="6">
        <f>-19196-17065-1364-931</f>
        <v>-38556</v>
      </c>
      <c r="CR10" s="6">
        <v>-38170</v>
      </c>
      <c r="CT10" s="6">
        <v>-38170</v>
      </c>
      <c r="CV10" s="6">
        <v>-38170</v>
      </c>
      <c r="CX10" s="6">
        <v>-38170</v>
      </c>
      <c r="CZ10" s="6">
        <v>-38170</v>
      </c>
      <c r="DB10" s="6">
        <v>-38170</v>
      </c>
      <c r="DD10" s="6">
        <v>-38170</v>
      </c>
      <c r="DF10" s="6">
        <v>-38170</v>
      </c>
      <c r="DI10" s="6">
        <f>-36104+DI102</f>
        <v>-26665</v>
      </c>
      <c r="DK10" s="29"/>
      <c r="DL10" s="29"/>
      <c r="DM10" s="29"/>
      <c r="DN10" s="29"/>
      <c r="DP10" s="29"/>
      <c r="DQ10" s="29"/>
      <c r="DR10" s="29"/>
      <c r="DS10" s="29"/>
      <c r="DU10" s="29"/>
      <c r="DV10" s="29"/>
    </row>
    <row r="11" spans="1:126">
      <c r="A11" s="1" t="s">
        <v>41</v>
      </c>
      <c r="B11" s="1">
        <v>-737</v>
      </c>
      <c r="C11" s="3"/>
      <c r="D11" s="1">
        <v>-4291</v>
      </c>
      <c r="E11" s="3"/>
      <c r="F11" s="1">
        <v>-1470</v>
      </c>
      <c r="G11" s="3"/>
      <c r="H11" s="3"/>
      <c r="I11" s="1">
        <v>-2282</v>
      </c>
      <c r="J11" s="3"/>
      <c r="L11" s="3"/>
      <c r="M11" s="3"/>
      <c r="N11" s="1">
        <v>-9270</v>
      </c>
      <c r="O11" s="3"/>
      <c r="P11" s="1">
        <v>-4770</v>
      </c>
      <c r="Q11" s="3"/>
      <c r="R11" s="1">
        <v>-3923</v>
      </c>
      <c r="S11" s="3"/>
      <c r="T11" s="1">
        <v>-9852</v>
      </c>
      <c r="U11" s="3"/>
      <c r="V11" s="1">
        <v>-4821</v>
      </c>
      <c r="W11" s="3"/>
      <c r="X11" s="1">
        <v>-11733</v>
      </c>
      <c r="Y11" s="3"/>
      <c r="Z11" s="3"/>
      <c r="AA11" s="1">
        <v>-2932</v>
      </c>
      <c r="AB11" s="3"/>
      <c r="AC11" s="1">
        <v>-1746</v>
      </c>
      <c r="AD11" s="3"/>
      <c r="AG11" s="3"/>
      <c r="AI11" s="3"/>
      <c r="AK11" s="3"/>
      <c r="AM11" s="3"/>
      <c r="AO11" s="1">
        <v>-1318</v>
      </c>
      <c r="AP11" s="3"/>
      <c r="AR11" s="3"/>
      <c r="AT11" s="3"/>
      <c r="AV11" s="3"/>
      <c r="AX11" s="3"/>
      <c r="AZ11" s="3"/>
      <c r="BB11" s="3"/>
      <c r="BD11" s="3"/>
      <c r="BG11" s="3"/>
      <c r="BJ11" s="3"/>
      <c r="BK11" s="1">
        <v>-857</v>
      </c>
      <c r="BL11" s="3"/>
      <c r="BM11" s="3"/>
      <c r="BO11" s="3"/>
      <c r="BQ11" s="3"/>
      <c r="BS11" s="3"/>
      <c r="BT11" s="3"/>
      <c r="BU11" s="1">
        <v>-1503</v>
      </c>
      <c r="BV11" s="3"/>
      <c r="BX11" s="3"/>
      <c r="BY11" s="3"/>
      <c r="CA11" s="3"/>
      <c r="CB11" s="3"/>
      <c r="CD11" s="3"/>
      <c r="CF11" s="3"/>
      <c r="CG11" s="3"/>
      <c r="CI11" s="3"/>
      <c r="CK11" s="3"/>
      <c r="CL11" s="20"/>
      <c r="CM11" s="23"/>
      <c r="CO11" s="3"/>
      <c r="CQ11" s="3"/>
      <c r="CS11" s="3"/>
      <c r="CU11" s="3"/>
      <c r="CW11" s="3"/>
      <c r="CY11" s="3"/>
      <c r="DA11" s="3"/>
      <c r="DC11" s="3"/>
      <c r="DE11" s="3"/>
      <c r="DG11" s="3"/>
      <c r="DH11" s="3"/>
      <c r="DJ11" s="3"/>
      <c r="DK11" s="20"/>
      <c r="DL11" s="23"/>
      <c r="DM11" s="20"/>
      <c r="DN11" s="23"/>
      <c r="DP11" s="20"/>
      <c r="DQ11" s="23"/>
      <c r="DR11" s="20"/>
      <c r="DS11" s="23"/>
      <c r="DU11" s="20"/>
      <c r="DV11" s="23"/>
    </row>
    <row r="12" spans="1:126" s="6" customFormat="1">
      <c r="A12" s="6" t="s">
        <v>2</v>
      </c>
      <c r="B12" s="6">
        <v>-1745</v>
      </c>
      <c r="D12" s="6">
        <v>-11286</v>
      </c>
      <c r="F12" s="6">
        <v>-6094</v>
      </c>
      <c r="I12" s="6">
        <f>-4131-866-70+12</f>
        <v>-5055</v>
      </c>
      <c r="K12" s="6">
        <v>-1115</v>
      </c>
      <c r="N12" s="6">
        <f>-8373-2645</f>
        <v>-11018</v>
      </c>
      <c r="P12" s="6">
        <v>-8602</v>
      </c>
      <c r="R12" s="6">
        <v>-8480</v>
      </c>
      <c r="T12" s="6">
        <f>-14549-3060</f>
        <v>-17609</v>
      </c>
      <c r="V12" s="6">
        <f>-306-12206</f>
        <v>-12512</v>
      </c>
      <c r="X12" s="6">
        <f>-23380-3508</f>
        <v>-26888</v>
      </c>
      <c r="AA12" s="6">
        <v>-11472</v>
      </c>
      <c r="AC12" s="6">
        <v>-9985</v>
      </c>
      <c r="AF12" s="6">
        <f>-3258-5199</f>
        <v>-8457</v>
      </c>
      <c r="AJ12" s="6">
        <v>-8302</v>
      </c>
      <c r="BI12" s="6">
        <f>-10849-2224</f>
        <v>-13073</v>
      </c>
      <c r="BK12" s="6">
        <f>-6886-4757</f>
        <v>-11643</v>
      </c>
      <c r="BN12" s="6">
        <v>-13967</v>
      </c>
      <c r="BP12" s="6">
        <v>-10578</v>
      </c>
      <c r="BR12" s="6">
        <v>-3532</v>
      </c>
      <c r="BU12" s="6">
        <f>-8156-19711</f>
        <v>-27867</v>
      </c>
      <c r="BW12" s="6">
        <v>-13035</v>
      </c>
      <c r="BZ12" s="6">
        <v>-6466</v>
      </c>
      <c r="CE12" s="6">
        <f>-49878-3987</f>
        <v>-53865</v>
      </c>
      <c r="CH12" s="6">
        <f>-19655-6888</f>
        <v>-26543</v>
      </c>
      <c r="CJ12" s="6">
        <v>-23647</v>
      </c>
      <c r="CL12" s="29">
        <f>-7255</f>
        <v>-7255</v>
      </c>
      <c r="CM12" s="29"/>
      <c r="CR12" s="6">
        <v>-40645</v>
      </c>
      <c r="CT12" s="6">
        <v>-40645</v>
      </c>
      <c r="CV12" s="6">
        <v>-40645</v>
      </c>
      <c r="CX12" s="6">
        <v>-40645</v>
      </c>
      <c r="CZ12" s="6">
        <v>-40645</v>
      </c>
      <c r="DB12" s="6">
        <v>-40645</v>
      </c>
      <c r="DD12" s="6">
        <v>-40645</v>
      </c>
      <c r="DF12" s="6">
        <v>-40645</v>
      </c>
      <c r="DK12" s="29">
        <v>-23647</v>
      </c>
      <c r="DL12" s="29"/>
      <c r="DM12" s="29">
        <v>-23647</v>
      </c>
      <c r="DN12" s="29"/>
      <c r="DP12" s="29">
        <v>-23647</v>
      </c>
      <c r="DQ12" s="29"/>
      <c r="DR12" s="29">
        <v>-23647</v>
      </c>
      <c r="DS12" s="29"/>
      <c r="DU12" s="29">
        <v>-23647</v>
      </c>
      <c r="DV12" s="29"/>
    </row>
    <row r="13" spans="1:126" s="6" customFormat="1">
      <c r="A13" s="6" t="s">
        <v>137</v>
      </c>
      <c r="P13" s="6">
        <f>-2914-1387</f>
        <v>-4301</v>
      </c>
      <c r="AF13" s="6">
        <v>-7700</v>
      </c>
      <c r="AL13" s="6">
        <v>-9627</v>
      </c>
      <c r="AO13" s="6">
        <v>-21509</v>
      </c>
      <c r="AQ13" s="6">
        <f>-13510-1961</f>
        <v>-15471</v>
      </c>
      <c r="AS13" s="6">
        <v>-11821</v>
      </c>
      <c r="BA13" s="6">
        <v>-2954</v>
      </c>
      <c r="BC13" s="6">
        <v>-9031</v>
      </c>
      <c r="CC13" s="6">
        <v>-855</v>
      </c>
      <c r="CL13" s="29"/>
      <c r="CM13" s="29"/>
      <c r="CN13" s="6">
        <v>-1582</v>
      </c>
      <c r="DI13" s="6">
        <v>-7315</v>
      </c>
      <c r="DK13" s="29"/>
      <c r="DL13" s="29"/>
      <c r="DM13" s="29"/>
      <c r="DN13" s="29"/>
      <c r="DP13" s="29"/>
      <c r="DQ13" s="29"/>
      <c r="DR13" s="29"/>
      <c r="DS13" s="29"/>
      <c r="DU13" s="29"/>
      <c r="DV13" s="29"/>
    </row>
    <row r="14" spans="1:126">
      <c r="A14" s="1" t="s">
        <v>36</v>
      </c>
      <c r="B14" s="4">
        <v>-276</v>
      </c>
      <c r="D14" s="4">
        <f>503-427</f>
        <v>76</v>
      </c>
      <c r="F14" s="4">
        <v>-41</v>
      </c>
      <c r="I14" s="4">
        <v>-17</v>
      </c>
      <c r="N14" s="4"/>
      <c r="P14" s="4">
        <f>691-242+314-300</f>
        <v>463</v>
      </c>
      <c r="R14" s="4">
        <v>1124</v>
      </c>
      <c r="T14" s="4">
        <f>1367-2219</f>
        <v>-852</v>
      </c>
      <c r="V14" s="4">
        <v>595</v>
      </c>
      <c r="X14" s="4"/>
      <c r="AA14" s="4"/>
      <c r="AC14" s="4"/>
      <c r="AF14" s="4">
        <f>468+10</f>
        <v>478</v>
      </c>
      <c r="AH14" s="1">
        <v>-1275</v>
      </c>
      <c r="AJ14" s="4">
        <v>-507</v>
      </c>
      <c r="AL14" s="4"/>
      <c r="AO14" s="4">
        <v>1089</v>
      </c>
      <c r="AQ14" s="4">
        <f>777+13115</f>
        <v>13892</v>
      </c>
      <c r="AS14" s="4">
        <v>-71</v>
      </c>
      <c r="AU14" s="4">
        <v>16000</v>
      </c>
      <c r="AW14" s="4">
        <v>16000</v>
      </c>
      <c r="AY14" s="4">
        <v>16000</v>
      </c>
      <c r="BA14" s="4">
        <v>-3817</v>
      </c>
      <c r="BC14" s="4">
        <f>1725-2105</f>
        <v>-380</v>
      </c>
      <c r="BF14" s="1">
        <v>-173</v>
      </c>
      <c r="BI14" s="4">
        <v>-127</v>
      </c>
      <c r="BK14" s="4">
        <v>-135</v>
      </c>
      <c r="BN14" s="4"/>
      <c r="BP14" s="4"/>
      <c r="BR14" s="4">
        <v>-108</v>
      </c>
      <c r="BU14" s="4">
        <f>120-965+616-1595</f>
        <v>-1824</v>
      </c>
      <c r="BW14" s="4"/>
      <c r="BZ14" s="4"/>
      <c r="CC14" s="4">
        <v>1</v>
      </c>
      <c r="CE14" s="4"/>
      <c r="CH14" s="4">
        <f>9956-7343</f>
        <v>2613</v>
      </c>
      <c r="CJ14" s="4">
        <v>2966</v>
      </c>
      <c r="CL14" s="22">
        <f>841-874</f>
        <v>-33</v>
      </c>
      <c r="CM14" s="20"/>
      <c r="CN14" s="4">
        <f>-4054-798</f>
        <v>-4852</v>
      </c>
      <c r="CP14" s="4"/>
      <c r="CR14" s="4">
        <v>-359</v>
      </c>
      <c r="CT14" s="4">
        <v>-359</v>
      </c>
      <c r="CV14" s="4">
        <v>-359</v>
      </c>
      <c r="CX14" s="4">
        <v>-359</v>
      </c>
      <c r="CZ14" s="4">
        <v>-359</v>
      </c>
      <c r="DB14" s="4">
        <v>-359</v>
      </c>
      <c r="DD14" s="4">
        <v>-359</v>
      </c>
      <c r="DF14" s="4">
        <v>-359</v>
      </c>
      <c r="DI14" s="4">
        <f>787-948-161</f>
        <v>-322</v>
      </c>
      <c r="DK14" s="22">
        <v>2966</v>
      </c>
      <c r="DL14" s="20"/>
      <c r="DM14" s="22">
        <v>2966</v>
      </c>
      <c r="DN14" s="20"/>
      <c r="DP14" s="22">
        <v>2966</v>
      </c>
      <c r="DQ14" s="20"/>
      <c r="DR14" s="22">
        <v>2966</v>
      </c>
      <c r="DS14" s="20"/>
      <c r="DU14" s="22">
        <v>2966</v>
      </c>
      <c r="DV14" s="20"/>
    </row>
    <row r="15" spans="1:126">
      <c r="A15" s="1" t="s">
        <v>3</v>
      </c>
      <c r="B15" s="1">
        <f>SUM(B9:B12)</f>
        <v>1463</v>
      </c>
      <c r="C15" s="3">
        <f>B15/B5</f>
        <v>7.2179189895900137E-2</v>
      </c>
      <c r="D15" s="1">
        <f>SUM(D9:D14)</f>
        <v>5328</v>
      </c>
      <c r="E15" s="3">
        <f>D15/D5</f>
        <v>7.0214280066418916E-2</v>
      </c>
      <c r="F15" s="1">
        <f>SUM(F9:F14)</f>
        <v>4387</v>
      </c>
      <c r="G15" s="3">
        <f>F15/F5</f>
        <v>0.10483177212770024</v>
      </c>
      <c r="H15" s="3"/>
      <c r="I15" s="1">
        <f>SUM(I9:I14)</f>
        <v>4462</v>
      </c>
      <c r="J15" s="3">
        <f>I15/I5</f>
        <v>0.26535831103181684</v>
      </c>
      <c r="K15" s="1">
        <f>SUM(K9:K12)</f>
        <v>101</v>
      </c>
      <c r="L15" s="3">
        <f>K15/K5</f>
        <v>7.340116279069768E-2</v>
      </c>
      <c r="M15" s="3"/>
      <c r="N15" s="1">
        <f>SUM(N9:N14)</f>
        <v>16376</v>
      </c>
      <c r="O15" s="3">
        <f>N15/N5</f>
        <v>0.35006412997007269</v>
      </c>
      <c r="P15" s="1">
        <f>SUM(P9:P14)</f>
        <v>5106</v>
      </c>
      <c r="Q15" s="3">
        <f>P15/P5</f>
        <v>0.15495736092986556</v>
      </c>
      <c r="R15" s="1">
        <f>SUM(R9:R14)</f>
        <v>7028</v>
      </c>
      <c r="S15" s="3">
        <f>R15/R5</f>
        <v>0.26515751744953781</v>
      </c>
      <c r="T15" s="1">
        <f>SUM(T9:T14)</f>
        <v>10910</v>
      </c>
      <c r="U15" s="3">
        <f>T15/T5</f>
        <v>0.18836325966850828</v>
      </c>
      <c r="V15" s="1">
        <f>SUM(V9:V14)</f>
        <v>3712</v>
      </c>
      <c r="W15" s="3">
        <f>V15/V5</f>
        <v>0.14437400334487185</v>
      </c>
      <c r="X15" s="1">
        <f>SUM(X9:X14)</f>
        <v>31493</v>
      </c>
      <c r="Y15" s="3">
        <f>X15/X5</f>
        <v>0.37683673957784902</v>
      </c>
      <c r="Z15" s="3"/>
      <c r="AA15" s="1">
        <f>SUM(AA9:AA14)</f>
        <v>4149</v>
      </c>
      <c r="AB15" s="3">
        <f>AA15/AA5</f>
        <v>0.11358409986859395</v>
      </c>
      <c r="AC15" s="1">
        <f>SUM(AC9:AC14)</f>
        <v>8976</v>
      </c>
      <c r="AD15" s="3">
        <f>AC15/AC5</f>
        <v>0.11401135540906146</v>
      </c>
      <c r="AF15" s="1">
        <f>SUM(AF9:AF14)</f>
        <v>-1739</v>
      </c>
      <c r="AG15" s="3">
        <f>AF15/AF5</f>
        <v>-3.9127010912363598E-2</v>
      </c>
      <c r="AH15" s="1">
        <f>SUM(AH9:AH12)</f>
        <v>-43083</v>
      </c>
      <c r="AI15" s="3">
        <f>AH15/AH5</f>
        <v>-0.66610491813417028</v>
      </c>
      <c r="AJ15" s="1">
        <f>SUM(AJ9:AJ14)</f>
        <v>6062</v>
      </c>
      <c r="AK15" s="3">
        <f>AJ15/AJ5</f>
        <v>0.13059870306137839</v>
      </c>
      <c r="AL15" s="1">
        <f>AL7+SUM(AL10:AL14)</f>
        <v>9450</v>
      </c>
      <c r="AM15" s="3">
        <f>AL15/AL5</f>
        <v>0.1656122395331312</v>
      </c>
      <c r="AO15" s="1">
        <f>SUM(AO9:AO14)</f>
        <v>27959</v>
      </c>
      <c r="AP15" s="3">
        <f>AO15/AO5</f>
        <v>6.1961062417587288E-2</v>
      </c>
      <c r="AQ15" s="1">
        <f>SUM(AQ9:AQ14)</f>
        <v>28580</v>
      </c>
      <c r="AR15" s="3">
        <f>AQ15/AQ5</f>
        <v>7.5381920999324781E-2</v>
      </c>
      <c r="AS15" s="1">
        <f>SUM(AS9:AS14)</f>
        <v>8888</v>
      </c>
      <c r="AT15" s="3">
        <f>AS15/AS5</f>
        <v>7.7491128800230166E-2</v>
      </c>
      <c r="AU15" s="1">
        <f>SUM(AU9:AU14)</f>
        <v>204900</v>
      </c>
      <c r="AV15" s="3">
        <f>AU15/AU5</f>
        <v>0.29035000708516367</v>
      </c>
      <c r="AW15" s="1">
        <f>SUM(AW9:AW14)</f>
        <v>204900</v>
      </c>
      <c r="AX15" s="3">
        <f>AW15/AW5</f>
        <v>0.29035000708516367</v>
      </c>
      <c r="AY15" s="1">
        <f>SUM(AY9:AY14)</f>
        <v>204900</v>
      </c>
      <c r="AZ15" s="3">
        <f>AY15/AY5</f>
        <v>0.29035000708516367</v>
      </c>
      <c r="BA15" s="1">
        <f>SUM(BA9:BA14)</f>
        <v>3667</v>
      </c>
      <c r="BB15" s="3">
        <f>BA15/BA5</f>
        <v>0.19106919549812421</v>
      </c>
      <c r="BC15" s="1">
        <f>SUM(BC9:BC14)</f>
        <v>17811</v>
      </c>
      <c r="BD15" s="3">
        <f>BC15/BC5</f>
        <v>0.10376044973930267</v>
      </c>
      <c r="BF15" s="1">
        <f>SUM(BF9:BF12)</f>
        <v>-19343</v>
      </c>
      <c r="BG15" s="3">
        <f>BF15/BF5</f>
        <v>-1.0676712479991168</v>
      </c>
      <c r="BI15" s="1">
        <f>SUM(BI9:BI14)</f>
        <v>5894</v>
      </c>
      <c r="BJ15" s="3">
        <f>BI15/BI5</f>
        <v>0.20220247692888263</v>
      </c>
      <c r="BK15" s="1">
        <f>SUM(BK9:BK14)</f>
        <v>3739</v>
      </c>
      <c r="BL15" s="3">
        <f>BK15/BK5</f>
        <v>0.1627350278551532</v>
      </c>
      <c r="BM15" s="3"/>
      <c r="BN15" s="1">
        <f>SUM(BN9:BN14)</f>
        <v>4203</v>
      </c>
      <c r="BO15" s="3">
        <f>BN15/BN5</f>
        <v>0.18106233576013442</v>
      </c>
      <c r="BP15" s="1">
        <f>SUM(BP9:BP14)</f>
        <v>12733</v>
      </c>
      <c r="BQ15" s="3">
        <f>BP15/BP5</f>
        <v>0.3202625886614015</v>
      </c>
      <c r="BR15" s="1">
        <f>SUM(BR9:BR14)</f>
        <v>3323</v>
      </c>
      <c r="BS15" s="3">
        <f>BR15/BR5</f>
        <v>0.29064987317414503</v>
      </c>
      <c r="BT15" s="3"/>
      <c r="BU15" s="1">
        <f>SUM(BU9:BU14)</f>
        <v>13068</v>
      </c>
      <c r="BV15" s="3">
        <f>BU15/BU5</f>
        <v>0.14179995225590833</v>
      </c>
      <c r="BW15" s="1">
        <f>SUM(BW9:BW14)</f>
        <v>7517</v>
      </c>
      <c r="BX15" s="3">
        <f>BW15/BW5</f>
        <v>0.15095286864670562</v>
      </c>
      <c r="BY15" s="3"/>
      <c r="BZ15" s="1">
        <f>SUM(BZ9:BZ14)</f>
        <v>5412</v>
      </c>
      <c r="CA15" s="3">
        <f>BZ15/BZ5</f>
        <v>0.35628703094140884</v>
      </c>
      <c r="CB15" s="3"/>
      <c r="CC15" s="1">
        <f>SUM(CC9:CC14)</f>
        <v>3071</v>
      </c>
      <c r="CD15" s="3">
        <f>CC15/CC5</f>
        <v>0.1836283185840708</v>
      </c>
      <c r="CE15" s="1">
        <f>SUM(CE9:CE14)</f>
        <v>22168</v>
      </c>
      <c r="CF15" s="3">
        <f>CE15/CE5</f>
        <v>0.17243042267544065</v>
      </c>
      <c r="CG15" s="3"/>
      <c r="CH15" s="1">
        <f>SUM(CH9:CH14)</f>
        <v>11670</v>
      </c>
      <c r="CI15" s="3">
        <f>CH15/CH5</f>
        <v>5.9236473830879106E-2</v>
      </c>
      <c r="CJ15" s="1">
        <f>SUM(CJ9:CJ14)</f>
        <v>14477</v>
      </c>
      <c r="CK15" s="3">
        <f>CJ15/CJ5</f>
        <v>7.5136498577923566E-2</v>
      </c>
      <c r="CL15" s="1">
        <f>SUM(CL9:CL14)</f>
        <v>7986</v>
      </c>
      <c r="CM15" s="23">
        <v>0.06</v>
      </c>
      <c r="CN15" s="1">
        <f>SUM(CN9:CN14)</f>
        <v>7832</v>
      </c>
      <c r="CO15" s="3">
        <f>CN15/CN5</f>
        <v>0.13620395812319572</v>
      </c>
      <c r="CP15" s="1">
        <f>SUM(CP9:CP14)</f>
        <v>20240</v>
      </c>
      <c r="CQ15" s="3">
        <f>CP15/CP5</f>
        <v>0.28440947094779739</v>
      </c>
      <c r="CR15" s="1">
        <f>SUM(CR9:CR14)</f>
        <v>3122</v>
      </c>
      <c r="CS15" s="3">
        <f>CR15/CR5</f>
        <v>3.7936230193448044E-2</v>
      </c>
      <c r="CT15" s="1">
        <f>SUM(CT9:CT14)</f>
        <v>3122</v>
      </c>
      <c r="CU15" s="3">
        <f>CT15/CT5</f>
        <v>3.7936230193448044E-2</v>
      </c>
      <c r="CV15" s="1">
        <f>SUM(CV9:CV14)</f>
        <v>3122</v>
      </c>
      <c r="CW15" s="3">
        <f>CV15/CV5</f>
        <v>3.7936230193448044E-2</v>
      </c>
      <c r="CX15" s="1">
        <f>SUM(CX9:CX14)</f>
        <v>3122</v>
      </c>
      <c r="CY15" s="3">
        <f>CX15/CX5</f>
        <v>3.7936230193448044E-2</v>
      </c>
      <c r="CZ15" s="1">
        <f>SUM(CZ9:CZ14)</f>
        <v>3122</v>
      </c>
      <c r="DA15" s="3">
        <f>CZ15/CZ5</f>
        <v>3.7936230193448044E-2</v>
      </c>
      <c r="DB15" s="1">
        <f>SUM(DB9:DB14)</f>
        <v>3122</v>
      </c>
      <c r="DC15" s="3">
        <f>DB15/DB5</f>
        <v>3.7936230193448044E-2</v>
      </c>
      <c r="DD15" s="1">
        <f>SUM(DD9:DD14)</f>
        <v>3122</v>
      </c>
      <c r="DE15" s="3">
        <f>DD15/DD5</f>
        <v>3.7936230193448044E-2</v>
      </c>
      <c r="DF15" s="1">
        <f>SUM(DF9:DF14)</f>
        <v>3122</v>
      </c>
      <c r="DG15" s="3">
        <f>DF15/DF5</f>
        <v>3.7936230193448044E-2</v>
      </c>
      <c r="DH15" s="3"/>
      <c r="DI15" s="1">
        <f>SUM(DI9:DI14)</f>
        <v>7430</v>
      </c>
      <c r="DJ15" s="3">
        <f>DI15/DI5</f>
        <v>0.14519942936428837</v>
      </c>
      <c r="DK15" s="1">
        <f>SUM(DK9:DK14)</f>
        <v>14477</v>
      </c>
      <c r="DL15" s="23">
        <v>0.06</v>
      </c>
      <c r="DM15" s="1">
        <f>SUM(DM9:DM14)</f>
        <v>14477</v>
      </c>
      <c r="DN15" s="23">
        <v>0.06</v>
      </c>
      <c r="DP15" s="1">
        <f>SUM(DP9:DP14)</f>
        <v>14477</v>
      </c>
      <c r="DQ15" s="23">
        <v>0.06</v>
      </c>
      <c r="DR15" s="1">
        <f>SUM(DR9:DR14)</f>
        <v>14477</v>
      </c>
      <c r="DS15" s="23">
        <v>0.06</v>
      </c>
      <c r="DU15" s="1">
        <f>SUM(DU9:DU14)</f>
        <v>14477</v>
      </c>
      <c r="DV15" s="23">
        <v>0.06</v>
      </c>
    </row>
    <row r="16" spans="1:126">
      <c r="A16" s="1" t="s">
        <v>4</v>
      </c>
      <c r="B16" s="6">
        <v>-176</v>
      </c>
      <c r="D16" s="6">
        <f>948-789-154</f>
        <v>5</v>
      </c>
      <c r="F16" s="6">
        <v>-390</v>
      </c>
      <c r="I16" s="6">
        <v>-66</v>
      </c>
      <c r="K16" s="6">
        <v>-17</v>
      </c>
      <c r="N16" s="6">
        <f>-1580-119</f>
        <v>-1699</v>
      </c>
      <c r="P16" s="6">
        <f>-612+109</f>
        <v>-503</v>
      </c>
      <c r="R16" s="6">
        <f>61-767</f>
        <v>-706</v>
      </c>
      <c r="T16" s="6">
        <f>-683-92</f>
        <v>-775</v>
      </c>
      <c r="V16" s="6">
        <f>50-495</f>
        <v>-445</v>
      </c>
      <c r="X16" s="6">
        <f>1702-656</f>
        <v>1046</v>
      </c>
      <c r="AA16" s="6">
        <v>-741</v>
      </c>
      <c r="AC16" s="6">
        <v>-743</v>
      </c>
      <c r="AF16" s="6">
        <f>-1788+305</f>
        <v>-1483</v>
      </c>
      <c r="AH16" s="6">
        <v>-3659</v>
      </c>
      <c r="AJ16" s="6">
        <v>-1476</v>
      </c>
      <c r="AL16" s="6">
        <f>933+3323-3629-3493</f>
        <v>-2866</v>
      </c>
      <c r="AO16" s="6">
        <v>-1642</v>
      </c>
      <c r="AQ16" s="6">
        <f>-1068-480</f>
        <v>-1548</v>
      </c>
      <c r="AS16" s="6">
        <f>5732-6653+4-92</f>
        <v>-1009</v>
      </c>
      <c r="AU16" s="6">
        <v>100</v>
      </c>
      <c r="AW16" s="6">
        <v>100</v>
      </c>
      <c r="AY16" s="6">
        <v>100</v>
      </c>
      <c r="BA16" s="6">
        <f>169-283</f>
        <v>-114</v>
      </c>
      <c r="BC16" s="6">
        <f>-670+64+524-529</f>
        <v>-611</v>
      </c>
      <c r="BF16" s="6">
        <v>-211</v>
      </c>
      <c r="BI16" s="6">
        <f>-103-96</f>
        <v>-199</v>
      </c>
      <c r="BK16" s="6">
        <f>-29+33-47</f>
        <v>-43</v>
      </c>
      <c r="BN16" s="6">
        <f>-735+BN101289</f>
        <v>-735</v>
      </c>
      <c r="BP16" s="6">
        <v>-2206</v>
      </c>
      <c r="BR16" s="6">
        <v>-399</v>
      </c>
      <c r="BU16" s="6">
        <f>219-850</f>
        <v>-631</v>
      </c>
      <c r="BW16" s="6">
        <v>-530</v>
      </c>
      <c r="BZ16" s="6">
        <v>-456</v>
      </c>
      <c r="CC16" s="6">
        <v>-18</v>
      </c>
      <c r="CE16" s="6">
        <f>367-9</f>
        <v>358</v>
      </c>
      <c r="CH16" s="6">
        <f>-2366-465</f>
        <v>-2831</v>
      </c>
      <c r="CJ16" s="6">
        <v>-2552</v>
      </c>
      <c r="CL16" s="20">
        <v>-471</v>
      </c>
      <c r="CM16" s="20"/>
      <c r="CN16" s="6"/>
      <c r="CP16" s="6"/>
      <c r="CR16" s="6"/>
      <c r="CT16" s="6"/>
      <c r="CV16" s="6"/>
      <c r="CX16" s="6"/>
      <c r="CZ16" s="6"/>
      <c r="DB16" s="6"/>
      <c r="DD16" s="6"/>
      <c r="DF16" s="6"/>
      <c r="DI16" s="6">
        <f>-3672+59+82-507-369</f>
        <v>-4407</v>
      </c>
      <c r="DK16" s="20">
        <v>-2552</v>
      </c>
      <c r="DL16" s="20"/>
      <c r="DM16" s="20">
        <v>-2552</v>
      </c>
      <c r="DN16" s="20"/>
      <c r="DP16" s="20">
        <v>-2552</v>
      </c>
      <c r="DQ16" s="20"/>
      <c r="DR16" s="20">
        <v>-2552</v>
      </c>
      <c r="DS16" s="20"/>
      <c r="DU16" s="20">
        <v>-2552</v>
      </c>
      <c r="DV16" s="20"/>
    </row>
    <row r="17" spans="1:126" s="6" customFormat="1">
      <c r="A17" s="6" t="s">
        <v>60</v>
      </c>
      <c r="B17" s="4"/>
      <c r="D17" s="4">
        <v>510</v>
      </c>
      <c r="F17" s="4">
        <v>69</v>
      </c>
      <c r="I17" s="4"/>
      <c r="N17" s="4"/>
      <c r="P17" s="4">
        <v>35</v>
      </c>
      <c r="R17" s="4">
        <f>43+282</f>
        <v>325</v>
      </c>
      <c r="T17" s="4">
        <v>600</v>
      </c>
      <c r="V17" s="4"/>
      <c r="X17" s="4"/>
      <c r="AA17" s="4">
        <v>-45</v>
      </c>
      <c r="AC17" s="4">
        <v>203</v>
      </c>
      <c r="AF17" s="4">
        <v>6477</v>
      </c>
      <c r="AJ17" s="4">
        <v>4963</v>
      </c>
      <c r="AL17" s="4">
        <v>-304</v>
      </c>
      <c r="AO17" s="4">
        <v>7275</v>
      </c>
      <c r="AQ17" s="4">
        <f>447+2742</f>
        <v>3189</v>
      </c>
      <c r="AS17" s="4">
        <f>222+5863</f>
        <v>6085</v>
      </c>
      <c r="AU17" s="4">
        <v>1700</v>
      </c>
      <c r="AW17" s="4">
        <v>1700</v>
      </c>
      <c r="AY17" s="4">
        <v>1700</v>
      </c>
      <c r="BA17" s="4">
        <v>336</v>
      </c>
      <c r="BC17" s="4">
        <v>2571</v>
      </c>
      <c r="BF17" s="4"/>
      <c r="BG17" s="4"/>
      <c r="BH17" s="4"/>
      <c r="BI17" s="4">
        <v>7</v>
      </c>
      <c r="BK17" s="4">
        <v>328</v>
      </c>
      <c r="BN17" s="4">
        <v>1244</v>
      </c>
      <c r="BP17" s="4">
        <v>624</v>
      </c>
      <c r="BR17" s="4">
        <v>199</v>
      </c>
      <c r="BU17" s="4">
        <v>1264</v>
      </c>
      <c r="BW17" s="4">
        <f>113+14</f>
        <v>127</v>
      </c>
      <c r="BZ17" s="4">
        <v>692</v>
      </c>
      <c r="CC17" s="4"/>
      <c r="CE17" s="4"/>
      <c r="CH17" s="4">
        <v>3589</v>
      </c>
      <c r="CJ17" s="4">
        <v>13567</v>
      </c>
      <c r="CL17" s="22">
        <v>398</v>
      </c>
      <c r="CM17" s="20"/>
      <c r="CN17" s="4">
        <f>323+285-251</f>
        <v>357</v>
      </c>
      <c r="CP17" s="4">
        <v>2325</v>
      </c>
      <c r="CR17" s="4">
        <v>427</v>
      </c>
      <c r="CT17" s="4">
        <v>427</v>
      </c>
      <c r="CV17" s="4">
        <v>427</v>
      </c>
      <c r="CX17" s="4">
        <v>427</v>
      </c>
      <c r="CZ17" s="4">
        <v>427</v>
      </c>
      <c r="DB17" s="4">
        <v>427</v>
      </c>
      <c r="DD17" s="4">
        <v>427</v>
      </c>
      <c r="DF17" s="4">
        <v>427</v>
      </c>
      <c r="DI17" s="4">
        <f>698-216</f>
        <v>482</v>
      </c>
      <c r="DK17" s="22">
        <v>13567</v>
      </c>
      <c r="DL17" s="20"/>
      <c r="DM17" s="22">
        <v>13567</v>
      </c>
      <c r="DN17" s="20"/>
      <c r="DP17" s="22">
        <v>13567</v>
      </c>
      <c r="DQ17" s="20"/>
      <c r="DR17" s="22">
        <v>13567</v>
      </c>
      <c r="DS17" s="20"/>
      <c r="DU17" s="22">
        <v>13567</v>
      </c>
      <c r="DV17" s="20"/>
    </row>
    <row r="18" spans="1:126">
      <c r="A18" s="1" t="s">
        <v>8</v>
      </c>
      <c r="B18" s="1">
        <f>SUM(B15:B16)</f>
        <v>1287</v>
      </c>
      <c r="C18" s="3">
        <f>B18/B5</f>
        <v>6.3495979081355763E-2</v>
      </c>
      <c r="D18" s="1">
        <f>SUM(D15:D17)</f>
        <v>5843</v>
      </c>
      <c r="E18" s="3">
        <f>D18/D5</f>
        <v>7.7001133338604671E-2</v>
      </c>
      <c r="F18" s="1">
        <f>SUM(F15:F17)</f>
        <v>4066</v>
      </c>
      <c r="G18" s="3">
        <f>F18/F5</f>
        <v>9.7161154654941698E-2</v>
      </c>
      <c r="H18" s="3"/>
      <c r="I18" s="1">
        <f>SUM(I15:I17)</f>
        <v>4396</v>
      </c>
      <c r="J18" s="3">
        <f>I18/I5</f>
        <v>0.26143324412726732</v>
      </c>
      <c r="K18" s="1">
        <f>SUM(K15:K17)</f>
        <v>84</v>
      </c>
      <c r="L18" s="3">
        <f>K18/K5</f>
        <v>6.1046511627906974E-2</v>
      </c>
      <c r="M18" s="3"/>
      <c r="N18" s="1">
        <f>SUM(N15:N17)</f>
        <v>14677</v>
      </c>
      <c r="O18" s="3">
        <f>N18/N5</f>
        <v>0.31374519025224457</v>
      </c>
      <c r="P18" s="1">
        <f>SUM(P15:P17)</f>
        <v>4638</v>
      </c>
      <c r="Q18" s="3">
        <f>P18/P5</f>
        <v>0.14075445358259234</v>
      </c>
      <c r="R18" s="1">
        <f>SUM(R15:R17)</f>
        <v>6647</v>
      </c>
      <c r="S18" s="3">
        <f>R18/R5</f>
        <v>0.25078287115638559</v>
      </c>
      <c r="T18" s="1">
        <f>SUM(T15:T17)</f>
        <v>10735</v>
      </c>
      <c r="U18" s="3">
        <f>T18/T5</f>
        <v>0.18534185082872928</v>
      </c>
      <c r="V18" s="1">
        <f>SUM(V15:V17)</f>
        <v>3267</v>
      </c>
      <c r="W18" s="3">
        <f>V18/V5</f>
        <v>0.12706623624129751</v>
      </c>
      <c r="X18" s="1">
        <f>SUM(X15:X17)</f>
        <v>32539</v>
      </c>
      <c r="Y18" s="3">
        <f>X18/X5</f>
        <v>0.38935289331355</v>
      </c>
      <c r="Z18" s="3"/>
      <c r="AA18" s="1">
        <f>SUM(AA15:AA17)</f>
        <v>3363</v>
      </c>
      <c r="AB18" s="3">
        <f>AA18/AA5</f>
        <v>9.2066360052562413E-2</v>
      </c>
      <c r="AC18" s="1">
        <f>SUM(AC15:AC17)</f>
        <v>8436</v>
      </c>
      <c r="AD18" s="3">
        <f>AC18/AC5</f>
        <v>0.10715238349274092</v>
      </c>
      <c r="AF18" s="1">
        <f>SUM(AF15:AF17)</f>
        <v>3255</v>
      </c>
      <c r="AG18" s="3">
        <f>AF18/AF5</f>
        <v>7.3236584542693217E-2</v>
      </c>
      <c r="AH18" s="1">
        <f>SUM(AH15:AH17)</f>
        <v>-46742</v>
      </c>
      <c r="AI18" s="3">
        <f>AH18/AH5</f>
        <v>-0.72267660291593872</v>
      </c>
      <c r="AJ18" s="1">
        <f>SUM(AJ15:AJ17)</f>
        <v>9549</v>
      </c>
      <c r="AK18" s="3">
        <f>AJ18/AJ5</f>
        <v>0.20572204149341836</v>
      </c>
      <c r="AL18" s="1">
        <f>SUM(AL15:AL17)</f>
        <v>6280</v>
      </c>
      <c r="AM18" s="3">
        <f>AL18/AL5</f>
        <v>0.11005765759450413</v>
      </c>
      <c r="AO18" s="1">
        <f>SUM(AO15:AO17)</f>
        <v>33592</v>
      </c>
      <c r="AP18" s="3">
        <f>AO18/AO5</f>
        <v>7.4444579875231315E-2</v>
      </c>
      <c r="AQ18" s="1">
        <f>SUM(AQ15:AQ17)</f>
        <v>30221</v>
      </c>
      <c r="AR18" s="3">
        <f>AQ18/AQ5</f>
        <v>7.9710183153274813E-2</v>
      </c>
      <c r="AS18" s="1">
        <f>SUM(AS15:AS17)</f>
        <v>13964</v>
      </c>
      <c r="AT18" s="3">
        <f>AS18/AS5</f>
        <v>0.12174686347506909</v>
      </c>
      <c r="AU18" s="1">
        <f>SUM(AU15:AU17)</f>
        <v>206700</v>
      </c>
      <c r="AV18" s="3">
        <f>AU18/AU5</f>
        <v>0.29290066600538472</v>
      </c>
      <c r="AW18" s="1">
        <f>SUM(AW15:AW17)</f>
        <v>206700</v>
      </c>
      <c r="AX18" s="3">
        <f>AW18/AW5</f>
        <v>0.29290066600538472</v>
      </c>
      <c r="AY18" s="1">
        <f>SUM(AY15:AY17)</f>
        <v>206700</v>
      </c>
      <c r="AZ18" s="3">
        <f>AY18/AY5</f>
        <v>0.29290066600538472</v>
      </c>
      <c r="BA18" s="1">
        <f>SUM(BA15:BA17)</f>
        <v>3889</v>
      </c>
      <c r="BB18" s="3">
        <f>BA18/BA5</f>
        <v>0.20263651521467277</v>
      </c>
      <c r="BC18" s="1">
        <f>SUM(BC15:BC17)</f>
        <v>19771</v>
      </c>
      <c r="BD18" s="3">
        <f>BC18/BC5</f>
        <v>0.11517870146514812</v>
      </c>
      <c r="BF18" s="1">
        <f>SUM(BF15:BF17)</f>
        <v>-19554</v>
      </c>
      <c r="BG18" s="3">
        <f>BF18/BF5</f>
        <v>-1.079317767842358</v>
      </c>
      <c r="BI18" s="1">
        <f>SUM(BI15:BI17)</f>
        <v>5702</v>
      </c>
      <c r="BJ18" s="3">
        <f>BI18/BI5</f>
        <v>0.19561563003876634</v>
      </c>
      <c r="BK18" s="1">
        <f>SUM(BK15:BK17)</f>
        <v>4024</v>
      </c>
      <c r="BL18" s="3">
        <f>BK18/BK5</f>
        <v>0.17513927576601671</v>
      </c>
      <c r="BM18" s="3"/>
      <c r="BN18" s="1">
        <f>SUM(BN15:BN17)</f>
        <v>4712</v>
      </c>
      <c r="BO18" s="3">
        <f>BN18/BN5</f>
        <v>0.20298970404514713</v>
      </c>
      <c r="BP18" s="1">
        <f>SUM(BP15:BP17)</f>
        <v>11151</v>
      </c>
      <c r="BQ18" s="3">
        <f>BP18/BP5</f>
        <v>0.28047185472106245</v>
      </c>
      <c r="BR18" s="1">
        <f>SUM(BR15:BR17)</f>
        <v>3123</v>
      </c>
      <c r="BS18" s="3">
        <f>BR18/BR5</f>
        <v>0.27315665179742848</v>
      </c>
      <c r="BT18" s="3"/>
      <c r="BU18" s="1">
        <f>SUM(BU15:BU17)</f>
        <v>13701</v>
      </c>
      <c r="BV18" s="3">
        <f>BU18/BU5</f>
        <v>0.14866859089823997</v>
      </c>
      <c r="BW18" s="1">
        <f>SUM(BW15:BW17)</f>
        <v>7114</v>
      </c>
      <c r="BX18" s="3">
        <f>BW18/BW5</f>
        <v>0.14286001164728798</v>
      </c>
      <c r="BY18" s="3"/>
      <c r="BZ18" s="1">
        <f>SUM(BZ15:BZ17)</f>
        <v>5648</v>
      </c>
      <c r="CA18" s="3">
        <f>BZ18/BZ5</f>
        <v>0.37182356813693218</v>
      </c>
      <c r="CB18" s="3"/>
      <c r="CC18" s="1">
        <f>SUM(CC15:CC17)</f>
        <v>3053</v>
      </c>
      <c r="CD18" s="3">
        <f>CC18/CC5</f>
        <v>0.18255202104759627</v>
      </c>
      <c r="CE18" s="1">
        <f>SUM(CE15:CE17)</f>
        <v>22526</v>
      </c>
      <c r="CF18" s="3">
        <f>CE18/CE5</f>
        <v>0.1752150713274529</v>
      </c>
      <c r="CG18" s="3"/>
      <c r="CH18" s="1">
        <f>SUM(CH15:CH17)</f>
        <v>12428</v>
      </c>
      <c r="CI18" s="3">
        <f>CH18/CH5</f>
        <v>6.3084052850913924E-2</v>
      </c>
      <c r="CJ18" s="1">
        <f>SUM(CJ15:CJ17)</f>
        <v>25492</v>
      </c>
      <c r="CK18" s="3">
        <f>CJ18/CJ5</f>
        <v>0.1323050094459092</v>
      </c>
      <c r="CL18" s="1">
        <f>SUM(CL15:CL17)</f>
        <v>7913</v>
      </c>
      <c r="CM18" s="23">
        <v>0.13</v>
      </c>
      <c r="CN18" s="1">
        <f>SUM(CN15:CN17)</f>
        <v>8189</v>
      </c>
      <c r="CO18" s="3">
        <f>CN18/CN5</f>
        <v>0.14241243782824944</v>
      </c>
      <c r="CP18" s="1">
        <f>SUM(CP15:CP17)</f>
        <v>22565</v>
      </c>
      <c r="CQ18" s="3">
        <f>CP18/CP5</f>
        <v>0.3170800252933324</v>
      </c>
      <c r="CR18" s="1">
        <f>SUM(CR15:CR17)</f>
        <v>3549</v>
      </c>
      <c r="CS18" s="3">
        <f>CR18/CR5</f>
        <v>4.3124817731116941E-2</v>
      </c>
      <c r="CT18" s="1">
        <f>SUM(CT15:CT17)</f>
        <v>3549</v>
      </c>
      <c r="CU18" s="3">
        <f>CT18/CT5</f>
        <v>4.3124817731116941E-2</v>
      </c>
      <c r="CV18" s="1">
        <f>SUM(CV15:CV17)</f>
        <v>3549</v>
      </c>
      <c r="CW18" s="3">
        <f>CV18/CV5</f>
        <v>4.3124817731116941E-2</v>
      </c>
      <c r="CX18" s="1">
        <f>SUM(CX15:CX17)</f>
        <v>3549</v>
      </c>
      <c r="CY18" s="3">
        <f>CX18/CX5</f>
        <v>4.3124817731116941E-2</v>
      </c>
      <c r="CZ18" s="1">
        <f>SUM(CZ15:CZ17)</f>
        <v>3549</v>
      </c>
      <c r="DA18" s="3">
        <f>CZ18/CZ5</f>
        <v>4.3124817731116941E-2</v>
      </c>
      <c r="DB18" s="1">
        <f>SUM(DB15:DB17)</f>
        <v>3549</v>
      </c>
      <c r="DC18" s="3">
        <f>DB18/DB5</f>
        <v>4.3124817731116941E-2</v>
      </c>
      <c r="DD18" s="1">
        <f>SUM(DD15:DD17)</f>
        <v>3549</v>
      </c>
      <c r="DE18" s="3">
        <f>DD18/DD5</f>
        <v>4.3124817731116941E-2</v>
      </c>
      <c r="DF18" s="1">
        <f>SUM(DF15:DF17)</f>
        <v>3549</v>
      </c>
      <c r="DG18" s="3">
        <f>DF18/DF5</f>
        <v>4.3124817731116941E-2</v>
      </c>
      <c r="DH18" s="3"/>
      <c r="DI18" s="1">
        <f>SUM(DI15:DI17)</f>
        <v>3505</v>
      </c>
      <c r="DJ18" s="3">
        <f>DI18/DI5</f>
        <v>6.8495827714916649E-2</v>
      </c>
      <c r="DK18" s="20">
        <v>25492</v>
      </c>
      <c r="DL18" s="23">
        <v>0.13</v>
      </c>
      <c r="DM18" s="20">
        <v>25492</v>
      </c>
      <c r="DN18" s="23">
        <v>0.13</v>
      </c>
      <c r="DP18" s="20">
        <v>25492</v>
      </c>
      <c r="DQ18" s="23">
        <v>0.13</v>
      </c>
      <c r="DR18" s="20">
        <v>25492</v>
      </c>
      <c r="DS18" s="23">
        <v>0.13</v>
      </c>
      <c r="DU18" s="20">
        <v>25492</v>
      </c>
      <c r="DV18" s="23">
        <v>0.13</v>
      </c>
    </row>
    <row r="19" spans="1:126">
      <c r="A19" s="1" t="s">
        <v>5</v>
      </c>
      <c r="B19" s="4">
        <v>-193</v>
      </c>
      <c r="D19" s="4">
        <v>-1630</v>
      </c>
      <c r="F19" s="4">
        <v>-1122</v>
      </c>
      <c r="I19" s="4">
        <v>-1071</v>
      </c>
      <c r="K19" s="4">
        <v>-116</v>
      </c>
      <c r="N19" s="4">
        <v>-3304</v>
      </c>
      <c r="P19" s="4">
        <v>-763</v>
      </c>
      <c r="R19" s="4">
        <v>-1019</v>
      </c>
      <c r="T19" s="4">
        <v>-1443</v>
      </c>
      <c r="V19" s="4">
        <v>-696</v>
      </c>
      <c r="X19" s="4">
        <v>-7355</v>
      </c>
      <c r="AA19" s="4">
        <v>-891</v>
      </c>
      <c r="AC19" s="4">
        <v>-3214</v>
      </c>
      <c r="AF19" s="4">
        <v>-2582</v>
      </c>
      <c r="AH19" s="4">
        <v>-1461</v>
      </c>
      <c r="AJ19" s="4">
        <v>-2546</v>
      </c>
      <c r="AL19" s="4">
        <v>-1311</v>
      </c>
      <c r="AO19" s="4">
        <v>-17066</v>
      </c>
      <c r="AQ19" s="4">
        <v>-6463</v>
      </c>
      <c r="AS19" s="4">
        <v>-9005</v>
      </c>
      <c r="AU19" s="4">
        <v>-137200</v>
      </c>
      <c r="AW19" s="4">
        <v>-137200</v>
      </c>
      <c r="AY19" s="4">
        <v>-137200</v>
      </c>
      <c r="BA19" s="4">
        <v>-1684</v>
      </c>
      <c r="BC19" s="4">
        <v>-11110</v>
      </c>
      <c r="BF19" s="4">
        <v>112</v>
      </c>
      <c r="BI19" s="4">
        <v>-1755</v>
      </c>
      <c r="BK19" s="4">
        <v>-1063</v>
      </c>
      <c r="BN19" s="4">
        <v>-1201</v>
      </c>
      <c r="BP19" s="4">
        <v>-1717</v>
      </c>
      <c r="BR19" s="4">
        <v>-529</v>
      </c>
      <c r="BU19" s="4">
        <v>-3256</v>
      </c>
      <c r="BW19" s="4">
        <v>-1851</v>
      </c>
      <c r="BZ19" s="4">
        <v>-1526</v>
      </c>
      <c r="CC19" s="4">
        <v>-671</v>
      </c>
      <c r="CE19" s="4">
        <v>-5374</v>
      </c>
      <c r="CH19" s="4">
        <v>-3283</v>
      </c>
      <c r="CJ19" s="4">
        <v>-3608</v>
      </c>
      <c r="CL19" s="22">
        <v>-2573</v>
      </c>
      <c r="CM19" s="20"/>
      <c r="CN19" s="4">
        <v>-2750</v>
      </c>
      <c r="CP19" s="4">
        <v>-4765</v>
      </c>
      <c r="CR19" s="4">
        <v>-575</v>
      </c>
      <c r="CT19" s="4">
        <v>-575</v>
      </c>
      <c r="CV19" s="4">
        <v>-575</v>
      </c>
      <c r="CX19" s="4">
        <v>-575</v>
      </c>
      <c r="CZ19" s="4">
        <v>-575</v>
      </c>
      <c r="DB19" s="4">
        <v>-575</v>
      </c>
      <c r="DD19" s="4">
        <v>-575</v>
      </c>
      <c r="DF19" s="4">
        <v>-575</v>
      </c>
      <c r="DI19" s="4">
        <v>-2426</v>
      </c>
      <c r="DK19" s="22">
        <v>-3608</v>
      </c>
      <c r="DL19" s="20"/>
      <c r="DM19" s="22">
        <v>-3608</v>
      </c>
      <c r="DN19" s="20"/>
      <c r="DP19" s="22">
        <v>-3608</v>
      </c>
      <c r="DQ19" s="20"/>
      <c r="DR19" s="22">
        <v>-3608</v>
      </c>
      <c r="DS19" s="20"/>
      <c r="DU19" s="22">
        <v>-3608</v>
      </c>
      <c r="DV19" s="20"/>
    </row>
    <row r="20" spans="1:126">
      <c r="A20" s="1" t="s">
        <v>101</v>
      </c>
      <c r="B20" s="1">
        <f>B18+B19</f>
        <v>1094</v>
      </c>
      <c r="C20" s="3">
        <f>B20/B5</f>
        <v>5.3974049040406535E-2</v>
      </c>
      <c r="D20" s="1">
        <f>D18+D19</f>
        <v>4213</v>
      </c>
      <c r="E20" s="3">
        <f>D20/D5</f>
        <v>5.5520413273240032E-2</v>
      </c>
      <c r="F20" s="1">
        <f>F18+F19</f>
        <v>2944</v>
      </c>
      <c r="G20" s="3">
        <f>F20/F5</f>
        <v>7.0349837507168805E-2</v>
      </c>
      <c r="H20" s="3"/>
      <c r="I20" s="1">
        <f>I18+I19</f>
        <v>3325</v>
      </c>
      <c r="J20" s="3">
        <f>I20/I5</f>
        <v>0.19774011299435029</v>
      </c>
      <c r="K20" s="1">
        <f>K18+K19</f>
        <v>-32</v>
      </c>
      <c r="L20" s="3">
        <f>K20/K5</f>
        <v>-2.3255813953488372E-2</v>
      </c>
      <c r="M20" s="3"/>
      <c r="N20" s="1">
        <f>N18+N19</f>
        <v>11373</v>
      </c>
      <c r="O20" s="3">
        <f>N20/N5</f>
        <v>0.24311671654553227</v>
      </c>
      <c r="P20" s="1">
        <f>P18+P19</f>
        <v>3875</v>
      </c>
      <c r="Q20" s="3">
        <f>P20/P5</f>
        <v>0.1175988589117174</v>
      </c>
      <c r="R20" s="1">
        <f>R18+R19</f>
        <v>5628</v>
      </c>
      <c r="S20" s="3">
        <f>R20/R5</f>
        <v>0.21233729485002831</v>
      </c>
      <c r="T20" s="1">
        <f>T18+T19</f>
        <v>9292</v>
      </c>
      <c r="U20" s="3">
        <f>T20/T5</f>
        <v>0.16042817679558011</v>
      </c>
      <c r="V20" s="1">
        <f>V18+V19</f>
        <v>2571</v>
      </c>
      <c r="W20" s="3">
        <f>V20/V5</f>
        <v>9.9996110614134034E-2</v>
      </c>
      <c r="X20" s="1">
        <f>X18+X19</f>
        <v>25184</v>
      </c>
      <c r="Y20" s="3">
        <f>X20/X5</f>
        <v>0.30134494806873113</v>
      </c>
      <c r="Z20" s="3"/>
      <c r="AA20" s="1">
        <f>AA18+AA19</f>
        <v>2472</v>
      </c>
      <c r="AB20" s="3">
        <f>AA20/AA5</f>
        <v>6.7674113009198428E-2</v>
      </c>
      <c r="AC20" s="1">
        <f>AC18+AC19</f>
        <v>5222</v>
      </c>
      <c r="AD20" s="3">
        <f>AC20/AC5</f>
        <v>6.6328798790788651E-2</v>
      </c>
      <c r="AF20" s="1">
        <f>AF18+AF19</f>
        <v>673</v>
      </c>
      <c r="AG20" s="3">
        <f>AF20/AF5</f>
        <v>1.5142310721115985E-2</v>
      </c>
      <c r="AH20" s="1">
        <f>AH18+AH19</f>
        <v>-48203</v>
      </c>
      <c r="AI20" s="3">
        <f>AH20/AH5</f>
        <v>-0.74526507830980693</v>
      </c>
      <c r="AJ20" s="1">
        <f>AJ18+AJ19</f>
        <v>7003</v>
      </c>
      <c r="AK20" s="3">
        <f>AJ20/AJ5</f>
        <v>0.1508714479608764</v>
      </c>
      <c r="AL20" s="1">
        <f>AL18+AL19</f>
        <v>4969</v>
      </c>
      <c r="AM20" s="3">
        <f>AL20/AL5</f>
        <v>8.7082245316415771E-2</v>
      </c>
      <c r="AO20" s="1">
        <f>AO18+AO19</f>
        <v>16526</v>
      </c>
      <c r="AP20" s="3">
        <f>AO20/AO5</f>
        <v>3.6623932097465846E-2</v>
      </c>
      <c r="AQ20" s="1">
        <f>AQ18+AQ19</f>
        <v>23758</v>
      </c>
      <c r="AR20" s="3">
        <f>AQ20/AQ5</f>
        <v>6.2663529709655635E-2</v>
      </c>
      <c r="AS20" s="1">
        <f>AS18+AS19</f>
        <v>4959</v>
      </c>
      <c r="AT20" s="3">
        <f>AS20/AS5</f>
        <v>4.3235655684106818E-2</v>
      </c>
      <c r="AU20" s="1">
        <f>AU18+AU19</f>
        <v>69500</v>
      </c>
      <c r="AV20" s="3">
        <f>AU20/AU5</f>
        <v>9.8483774975201929E-2</v>
      </c>
      <c r="AW20" s="1">
        <f>AW18+AW19</f>
        <v>69500</v>
      </c>
      <c r="AX20" s="3">
        <f>AW20/AW5</f>
        <v>9.8483774975201929E-2</v>
      </c>
      <c r="AY20" s="1">
        <f>AY18+AY19</f>
        <v>69500</v>
      </c>
      <c r="AZ20" s="3">
        <f>AY20/AY5</f>
        <v>9.8483774975201929E-2</v>
      </c>
      <c r="BA20" s="1">
        <f>BA18+BA19</f>
        <v>2205</v>
      </c>
      <c r="BB20" s="3">
        <f>BA20/BA5</f>
        <v>0.11489162150896207</v>
      </c>
      <c r="BC20" s="1">
        <f>BC18+BC19</f>
        <v>8661</v>
      </c>
      <c r="BD20" s="3">
        <f>BC20/BC5</f>
        <v>5.045585622323847E-2</v>
      </c>
      <c r="BF20" s="1">
        <f>BF18+BF19</f>
        <v>-19442</v>
      </c>
      <c r="BG20" s="3">
        <f>BF20/BF5</f>
        <v>-1.0731357288734338</v>
      </c>
      <c r="BI20" s="1">
        <f>BI18+BI19</f>
        <v>3947</v>
      </c>
      <c r="BJ20" s="3">
        <f>BI20/BI5</f>
        <v>0.13540773268379705</v>
      </c>
      <c r="BK20" s="1">
        <f>BK18+BK19</f>
        <v>2961</v>
      </c>
      <c r="BL20" s="3">
        <f>BK20/BK5</f>
        <v>0.12887360724233984</v>
      </c>
      <c r="BM20" s="3"/>
      <c r="BN20" s="1">
        <f>BN18+BN19</f>
        <v>3511</v>
      </c>
      <c r="BO20" s="3">
        <f>BN20/BN5</f>
        <v>0.15125145392667902</v>
      </c>
      <c r="BP20" s="1">
        <f>BP18+BP19</f>
        <v>9434</v>
      </c>
      <c r="BQ20" s="3">
        <f>BP20/BP5</f>
        <v>0.23728557774535944</v>
      </c>
      <c r="BR20" s="1">
        <f>BR18+BR19</f>
        <v>2594</v>
      </c>
      <c r="BS20" s="3">
        <f>BR20/BR5</f>
        <v>0.22688708125601328</v>
      </c>
      <c r="BT20" s="3"/>
      <c r="BU20" s="1">
        <f>BU18+BU19</f>
        <v>10445</v>
      </c>
      <c r="BV20" s="3">
        <f>BU20/BU5</f>
        <v>0.11333796306343454</v>
      </c>
      <c r="BW20" s="1">
        <f>BW18+BW19</f>
        <v>5263</v>
      </c>
      <c r="BX20" s="3">
        <f>BW20/BW5</f>
        <v>0.10568909773681145</v>
      </c>
      <c r="BY20" s="3"/>
      <c r="BZ20" s="1">
        <f>BZ18+BZ19</f>
        <v>4122</v>
      </c>
      <c r="CA20" s="3">
        <f>BZ20/BZ5</f>
        <v>0.27136273864384464</v>
      </c>
      <c r="CB20" s="3"/>
      <c r="CC20" s="1">
        <f>CC18+CC19</f>
        <v>2382</v>
      </c>
      <c r="CD20" s="3">
        <f>CC20/CC5</f>
        <v>0.14243004066012915</v>
      </c>
      <c r="CE20" s="1">
        <f>CE18+CE19</f>
        <v>17152</v>
      </c>
      <c r="CF20" s="3">
        <f>CE20/CE5</f>
        <v>0.1334142281545091</v>
      </c>
      <c r="CG20" s="3"/>
      <c r="CH20" s="1">
        <f>CH18+CH19</f>
        <v>9145</v>
      </c>
      <c r="CI20" s="3">
        <f>CH20/CH5</f>
        <v>4.6419670367042795E-2</v>
      </c>
      <c r="CJ20" s="1">
        <f>CJ18+CJ19</f>
        <v>21884</v>
      </c>
      <c r="CK20" s="3">
        <f>CJ20/CJ5</f>
        <v>0.11357927297639561</v>
      </c>
      <c r="CL20" s="1">
        <f>CL18+CL19</f>
        <v>5340</v>
      </c>
      <c r="CM20" s="23">
        <v>0.11</v>
      </c>
      <c r="CN20" s="1">
        <f>CN18+CN19</f>
        <v>5439</v>
      </c>
      <c r="CO20" s="3">
        <f>CN20/CN5</f>
        <v>9.4588014329936354E-2</v>
      </c>
      <c r="CP20" s="1">
        <f>CP18+CP19</f>
        <v>17800</v>
      </c>
      <c r="CQ20" s="3">
        <f>CP20/CP5</f>
        <v>0.25012295369914989</v>
      </c>
      <c r="CR20" s="1">
        <f>CR18+CR19</f>
        <v>2974</v>
      </c>
      <c r="CS20" s="3">
        <f>CR20/CR5</f>
        <v>3.6137843880626033E-2</v>
      </c>
      <c r="CT20" s="1">
        <f>CT18+CT19</f>
        <v>2974</v>
      </c>
      <c r="CU20" s="3">
        <f>CT20/CT5</f>
        <v>3.6137843880626033E-2</v>
      </c>
      <c r="CV20" s="1">
        <f>CV18+CV19</f>
        <v>2974</v>
      </c>
      <c r="CW20" s="3">
        <f>CV20/CV5</f>
        <v>3.6137843880626033E-2</v>
      </c>
      <c r="CX20" s="1">
        <f>CX18+CX19</f>
        <v>2974</v>
      </c>
      <c r="CY20" s="3">
        <f>CX20/CX5</f>
        <v>3.6137843880626033E-2</v>
      </c>
      <c r="CZ20" s="1">
        <f>CZ18+CZ19</f>
        <v>2974</v>
      </c>
      <c r="DA20" s="3">
        <f>CZ20/CZ5</f>
        <v>3.6137843880626033E-2</v>
      </c>
      <c r="DB20" s="1">
        <f>DB18+DB19</f>
        <v>2974</v>
      </c>
      <c r="DC20" s="3">
        <f>DB20/DB5</f>
        <v>3.6137843880626033E-2</v>
      </c>
      <c r="DD20" s="1">
        <f>DD18+DD19</f>
        <v>2974</v>
      </c>
      <c r="DE20" s="3">
        <f>DD20/DD5</f>
        <v>3.6137843880626033E-2</v>
      </c>
      <c r="DF20" s="1">
        <f>DF18+DF19</f>
        <v>2974</v>
      </c>
      <c r="DG20" s="3">
        <f>DF20/DF5</f>
        <v>3.6137843880626033E-2</v>
      </c>
      <c r="DH20" s="3"/>
      <c r="DI20" s="1">
        <f>DI18+DI19</f>
        <v>1079</v>
      </c>
      <c r="DJ20" s="3">
        <f>DI20/DI5</f>
        <v>2.1086162083992888E-2</v>
      </c>
      <c r="DK20" s="20">
        <v>21884</v>
      </c>
      <c r="DL20" s="23">
        <v>0.11</v>
      </c>
      <c r="DM20" s="20">
        <v>21884</v>
      </c>
      <c r="DN20" s="23">
        <v>0.11</v>
      </c>
      <c r="DP20" s="20">
        <v>21884</v>
      </c>
      <c r="DQ20" s="23">
        <v>0.11</v>
      </c>
      <c r="DR20" s="20">
        <v>21884</v>
      </c>
      <c r="DS20" s="23">
        <v>0.11</v>
      </c>
      <c r="DU20" s="20">
        <v>21884</v>
      </c>
      <c r="DV20" s="23">
        <v>0.11</v>
      </c>
    </row>
    <row r="21" spans="1:126">
      <c r="A21" s="1" t="s">
        <v>100</v>
      </c>
      <c r="C21" s="3"/>
      <c r="D21" s="1">
        <v>197</v>
      </c>
      <c r="E21" s="3"/>
      <c r="F21" s="1">
        <v>-37</v>
      </c>
      <c r="G21" s="3"/>
      <c r="H21" s="3"/>
      <c r="J21" s="3"/>
      <c r="L21" s="3"/>
      <c r="M21" s="3"/>
      <c r="O21" s="3"/>
      <c r="Q21" s="3"/>
      <c r="S21" s="3"/>
      <c r="U21" s="3"/>
      <c r="W21" s="3"/>
      <c r="Y21" s="3"/>
      <c r="Z21" s="3"/>
      <c r="AB21" s="3"/>
      <c r="AD21" s="3"/>
      <c r="AG21" s="3"/>
      <c r="AI21" s="3"/>
      <c r="AK21" s="3"/>
      <c r="AM21" s="3"/>
      <c r="AP21" s="3"/>
      <c r="AR21" s="3"/>
      <c r="AT21" s="3"/>
      <c r="AV21" s="3"/>
      <c r="AX21" s="3"/>
      <c r="AZ21" s="3"/>
      <c r="BA21" s="1">
        <v>245</v>
      </c>
      <c r="BB21" s="3"/>
      <c r="BD21" s="3"/>
      <c r="BG21" s="3"/>
      <c r="BJ21" s="3"/>
      <c r="BL21" s="3"/>
      <c r="BM21" s="3"/>
      <c r="BO21" s="3"/>
      <c r="BQ21" s="3"/>
      <c r="BS21" s="3"/>
      <c r="BT21" s="3"/>
      <c r="BV21" s="3"/>
      <c r="BX21" s="3"/>
      <c r="BY21" s="3"/>
      <c r="CA21" s="3"/>
      <c r="CB21" s="3"/>
      <c r="CD21" s="3"/>
      <c r="CF21" s="3"/>
      <c r="CG21" s="3"/>
      <c r="CI21" s="3"/>
      <c r="CK21" s="3"/>
      <c r="CL21" s="20"/>
      <c r="CM21" s="23"/>
      <c r="CO21" s="3"/>
      <c r="CQ21" s="3"/>
      <c r="CS21" s="3"/>
      <c r="CU21" s="3"/>
      <c r="CW21" s="3"/>
      <c r="CY21" s="3"/>
      <c r="DA21" s="3"/>
      <c r="DC21" s="3"/>
      <c r="DE21" s="3"/>
      <c r="DG21" s="3"/>
      <c r="DH21" s="3"/>
      <c r="DJ21" s="3"/>
      <c r="DK21" s="20"/>
      <c r="DL21" s="23"/>
      <c r="DM21" s="20"/>
      <c r="DN21" s="23"/>
      <c r="DP21" s="20"/>
      <c r="DQ21" s="23"/>
      <c r="DR21" s="20"/>
      <c r="DS21" s="23"/>
      <c r="DU21" s="20"/>
      <c r="DV21" s="23"/>
    </row>
    <row r="22" spans="1:126">
      <c r="A22" s="1" t="s">
        <v>6</v>
      </c>
      <c r="B22" s="24">
        <f>SUM(B20:B21)</f>
        <v>1094</v>
      </c>
      <c r="C22" s="3">
        <f>B22/B5</f>
        <v>5.3974049040406535E-2</v>
      </c>
      <c r="D22" s="24">
        <f>SUM(D20:D21)</f>
        <v>4410</v>
      </c>
      <c r="E22" s="3">
        <f>D22/D5</f>
        <v>5.8116549379299436E-2</v>
      </c>
      <c r="F22" s="24">
        <f>SUM(F20:F21)</f>
        <v>2907</v>
      </c>
      <c r="G22" s="3">
        <f>F22/F5</f>
        <v>6.9465685337411584E-2</v>
      </c>
      <c r="H22" s="3"/>
      <c r="I22" s="24">
        <f>SUM(I20:I21)</f>
        <v>3325</v>
      </c>
      <c r="J22" s="3">
        <f>I22/I5</f>
        <v>0.19774011299435029</v>
      </c>
      <c r="L22" s="3"/>
      <c r="M22" s="3"/>
      <c r="N22" s="24">
        <f>SUM(N20:N21)</f>
        <v>11373</v>
      </c>
      <c r="O22" s="3">
        <f>N22/N5</f>
        <v>0.24311671654553227</v>
      </c>
      <c r="P22" s="24">
        <f>SUM(P20:P21)</f>
        <v>3875</v>
      </c>
      <c r="Q22" s="3">
        <f>P22/P5</f>
        <v>0.1175988589117174</v>
      </c>
      <c r="R22" s="24">
        <f>SUM(R20:R21)</f>
        <v>5628</v>
      </c>
      <c r="S22" s="3">
        <f>R22/R5</f>
        <v>0.21233729485002831</v>
      </c>
      <c r="T22" s="24">
        <f>SUM(T20:T21)</f>
        <v>9292</v>
      </c>
      <c r="U22" s="3">
        <f>T22/T5</f>
        <v>0.16042817679558011</v>
      </c>
      <c r="V22" s="24">
        <f>SUM(V20:V21)</f>
        <v>2571</v>
      </c>
      <c r="W22" s="3">
        <f>V22/V5</f>
        <v>9.9996110614134034E-2</v>
      </c>
      <c r="X22" s="24">
        <f>SUM(X20:X21)</f>
        <v>25184</v>
      </c>
      <c r="Y22" s="3">
        <f>X22/X5</f>
        <v>0.30134494806873113</v>
      </c>
      <c r="Z22" s="3"/>
      <c r="AA22" s="24">
        <f>SUM(AA20:AA21)</f>
        <v>2472</v>
      </c>
      <c r="AB22" s="3">
        <f>AA22/AA5</f>
        <v>6.7674113009198428E-2</v>
      </c>
      <c r="AC22" s="24">
        <f>SUM(AC20:AC21)</f>
        <v>5222</v>
      </c>
      <c r="AD22" s="3">
        <f>AC22/AC5</f>
        <v>6.6328798790788651E-2</v>
      </c>
      <c r="AF22" s="24">
        <f>SUM(AF20:AF21)</f>
        <v>673</v>
      </c>
      <c r="AG22" s="3">
        <f>AF22/AF5</f>
        <v>1.5142310721115985E-2</v>
      </c>
      <c r="AI22" s="3"/>
      <c r="AJ22" s="24">
        <f>SUM(AJ20:AJ21)</f>
        <v>7003</v>
      </c>
      <c r="AK22" s="3">
        <f>AJ22/AJ5</f>
        <v>0.1508714479608764</v>
      </c>
      <c r="AL22" s="24">
        <f>SUM(AL20:AL21)</f>
        <v>4969</v>
      </c>
      <c r="AM22" s="3">
        <f>AL22/AL5</f>
        <v>8.7082245316415771E-2</v>
      </c>
      <c r="AO22" s="24">
        <f>SUM(AO20:AO21)</f>
        <v>16526</v>
      </c>
      <c r="AP22" s="3">
        <f>AO22/AO5</f>
        <v>3.6623932097465846E-2</v>
      </c>
      <c r="AQ22" s="24">
        <f>SUM(AQ20:AQ21)</f>
        <v>23758</v>
      </c>
      <c r="AR22" s="3">
        <f>AQ22/AQ5</f>
        <v>6.2663529709655635E-2</v>
      </c>
      <c r="AS22" s="24">
        <f>SUM(AS20:AS21)</f>
        <v>4959</v>
      </c>
      <c r="AT22" s="3">
        <f>AS22/AS5</f>
        <v>4.3235655684106818E-2</v>
      </c>
      <c r="AU22" s="24">
        <f>SUM(AU20:AU21)</f>
        <v>69500</v>
      </c>
      <c r="AV22" s="3">
        <f>AU22/AU5</f>
        <v>9.8483774975201929E-2</v>
      </c>
      <c r="AW22" s="24">
        <f>SUM(AW20:AW21)</f>
        <v>69500</v>
      </c>
      <c r="AX22" s="3">
        <f>AW22/AW5</f>
        <v>9.8483774975201929E-2</v>
      </c>
      <c r="AY22" s="24">
        <f>SUM(AY20:AY21)</f>
        <v>69500</v>
      </c>
      <c r="AZ22" s="3">
        <f>AY22/AY5</f>
        <v>9.8483774975201929E-2</v>
      </c>
      <c r="BA22" s="24">
        <f>SUM(BA20:BA21)</f>
        <v>2450</v>
      </c>
      <c r="BB22" s="3">
        <f>BA22/BA5</f>
        <v>0.12765735723218008</v>
      </c>
      <c r="BC22" s="24">
        <f>SUM(BC20:BC21)</f>
        <v>8661</v>
      </c>
      <c r="BD22" s="3">
        <f>BC22/BC5</f>
        <v>5.045585622323847E-2</v>
      </c>
      <c r="BG22" s="3"/>
      <c r="BI22" s="24">
        <f>SUM(BI20:BI21)</f>
        <v>3947</v>
      </c>
      <c r="BJ22" s="3">
        <f>BI22/BI5</f>
        <v>0.13540773268379705</v>
      </c>
      <c r="BK22" s="24">
        <f>SUM(BK20:BK21)</f>
        <v>2961</v>
      </c>
      <c r="BL22" s="3">
        <f>BK22/BK5</f>
        <v>0.12887360724233984</v>
      </c>
      <c r="BM22" s="3"/>
      <c r="BN22" s="24">
        <f>SUM(BN20:BN21)</f>
        <v>3511</v>
      </c>
      <c r="BO22" s="3">
        <f>BN22/BN5</f>
        <v>0.15125145392667902</v>
      </c>
      <c r="BP22" s="24">
        <f>SUM(BP20:BP21)</f>
        <v>9434</v>
      </c>
      <c r="BQ22" s="3">
        <f>BP22/BP5</f>
        <v>0.23728557774535944</v>
      </c>
      <c r="BR22" s="24">
        <f>SUM(BR20:BR21)</f>
        <v>2594</v>
      </c>
      <c r="BS22" s="3">
        <f>BR22/BR5</f>
        <v>0.22688708125601328</v>
      </c>
      <c r="BT22" s="3"/>
      <c r="BU22" s="24">
        <f>SUM(BU20:BU21)</f>
        <v>10445</v>
      </c>
      <c r="BV22" s="3">
        <f>BU22/BU5</f>
        <v>0.11333796306343454</v>
      </c>
      <c r="BW22" s="24">
        <f>SUM(BW20:BW21)</f>
        <v>5263</v>
      </c>
      <c r="BX22" s="3">
        <f>BW22/BW5</f>
        <v>0.10568909773681145</v>
      </c>
      <c r="BY22" s="3"/>
      <c r="BZ22" s="24">
        <f>SUM(BZ20:BZ21)</f>
        <v>4122</v>
      </c>
      <c r="CA22" s="3">
        <f>BZ22/BZ5</f>
        <v>0.27136273864384464</v>
      </c>
      <c r="CB22" s="3"/>
      <c r="CC22" s="24">
        <f>SUM(CC20:CC21)</f>
        <v>2382</v>
      </c>
      <c r="CD22" s="3">
        <f>CC22/CC5</f>
        <v>0.14243004066012915</v>
      </c>
      <c r="CE22" s="24">
        <f>SUM(CE20:CE21)</f>
        <v>17152</v>
      </c>
      <c r="CF22" s="3">
        <f>CE22/CE5</f>
        <v>0.1334142281545091</v>
      </c>
      <c r="CG22" s="3"/>
      <c r="CH22" s="24">
        <f>SUM(CH20:CH21)</f>
        <v>9145</v>
      </c>
      <c r="CI22" s="3">
        <f>CH22/CH5</f>
        <v>4.6419670367042795E-2</v>
      </c>
      <c r="CJ22" s="24">
        <f>SUM(CJ20:CJ21)</f>
        <v>21884</v>
      </c>
      <c r="CK22" s="3">
        <f>CJ22/CJ5</f>
        <v>0.11357927297639561</v>
      </c>
      <c r="CL22" s="24">
        <f>SUM(CL20:CL21)</f>
        <v>5340</v>
      </c>
      <c r="CM22" s="3">
        <f>CL22/CL5</f>
        <v>7.0209576901838072E-2</v>
      </c>
      <c r="CN22" s="24">
        <f>SUM(CN20:CN21)</f>
        <v>5439</v>
      </c>
      <c r="CO22" s="3">
        <f>CN22/CN5</f>
        <v>9.4588014329936354E-2</v>
      </c>
      <c r="CP22" s="24">
        <f>SUM(CP20:CP21)</f>
        <v>17800</v>
      </c>
      <c r="CQ22" s="3">
        <f>CP22/CP5</f>
        <v>0.25012295369914989</v>
      </c>
      <c r="CR22" s="24">
        <f>SUM(CR20:CR21)</f>
        <v>2974</v>
      </c>
      <c r="CS22" s="3">
        <f>CR22/CR5</f>
        <v>3.6137843880626033E-2</v>
      </c>
      <c r="CT22" s="24">
        <f>SUM(CT20:CT21)</f>
        <v>2974</v>
      </c>
      <c r="CU22" s="3">
        <f>CT22/CT5</f>
        <v>3.6137843880626033E-2</v>
      </c>
      <c r="CV22" s="24">
        <f>SUM(CV20:CV21)</f>
        <v>2974</v>
      </c>
      <c r="CW22" s="3">
        <f>CV22/CV5</f>
        <v>3.6137843880626033E-2</v>
      </c>
      <c r="CX22" s="24">
        <f>SUM(CX20:CX21)</f>
        <v>2974</v>
      </c>
      <c r="CY22" s="3">
        <f>CX22/CX5</f>
        <v>3.6137843880626033E-2</v>
      </c>
      <c r="CZ22" s="24">
        <f>SUM(CZ20:CZ21)</f>
        <v>2974</v>
      </c>
      <c r="DA22" s="3">
        <f>CZ22/CZ5</f>
        <v>3.6137843880626033E-2</v>
      </c>
      <c r="DB22" s="24">
        <f>SUM(DB20:DB21)</f>
        <v>2974</v>
      </c>
      <c r="DC22" s="3">
        <f>DB22/DB5</f>
        <v>3.6137843880626033E-2</v>
      </c>
      <c r="DD22" s="24">
        <f>SUM(DD20:DD21)</f>
        <v>2974</v>
      </c>
      <c r="DE22" s="3">
        <f>DD22/DD5</f>
        <v>3.6137843880626033E-2</v>
      </c>
      <c r="DF22" s="24">
        <f>SUM(DF20:DF21)</f>
        <v>2974</v>
      </c>
      <c r="DG22" s="3">
        <f>DF22/DF5</f>
        <v>3.6137843880626033E-2</v>
      </c>
      <c r="DH22" s="3"/>
      <c r="DI22" s="24">
        <f>SUM(DI20:DI21)</f>
        <v>1079</v>
      </c>
      <c r="DJ22" s="3">
        <f>DI22/DI5</f>
        <v>2.1086162083992888E-2</v>
      </c>
      <c r="DK22" s="24">
        <f>SUM(DK20:DK21)</f>
        <v>21884</v>
      </c>
      <c r="DL22" s="3">
        <f>DK22/DK5</f>
        <v>0.11357927297639561</v>
      </c>
      <c r="DM22" s="24">
        <f>SUM(DM20:DM21)</f>
        <v>21884</v>
      </c>
      <c r="DN22" s="3">
        <f>DM22/DM5</f>
        <v>0.11357927297639561</v>
      </c>
      <c r="DP22" s="24">
        <f>SUM(DP20:DP21)</f>
        <v>21884</v>
      </c>
      <c r="DQ22" s="3">
        <f>DP22/DP5</f>
        <v>0.11357927297639561</v>
      </c>
      <c r="DR22" s="24">
        <f>SUM(DR20:DR21)</f>
        <v>21884</v>
      </c>
      <c r="DS22" s="3">
        <f>DR22/DR5</f>
        <v>0.11357927297639561</v>
      </c>
      <c r="DU22" s="24">
        <f>SUM(DU20:DU21)</f>
        <v>21884</v>
      </c>
      <c r="DV22" s="3">
        <f>DU22/DU5</f>
        <v>0.11357927297639561</v>
      </c>
    </row>
    <row r="23" spans="1:126">
      <c r="CL23" s="20"/>
      <c r="CM23" s="20"/>
      <c r="DK23" s="20"/>
      <c r="DL23" s="20"/>
      <c r="DM23" s="20"/>
      <c r="DN23" s="20"/>
      <c r="DP23" s="20"/>
      <c r="DQ23" s="20"/>
      <c r="DR23" s="20"/>
      <c r="DS23" s="20"/>
      <c r="DU23" s="20"/>
      <c r="DV23" s="20"/>
    </row>
    <row r="24" spans="1:126" ht="18">
      <c r="A24" s="11" t="s">
        <v>30</v>
      </c>
      <c r="CL24" s="20"/>
      <c r="CM24" s="20"/>
      <c r="DK24" s="20"/>
      <c r="DL24" s="20"/>
      <c r="DM24" s="20"/>
      <c r="DN24" s="20"/>
      <c r="DP24" s="20"/>
      <c r="DQ24" s="20"/>
      <c r="DR24" s="20"/>
      <c r="DS24" s="20"/>
      <c r="DU24" s="20"/>
      <c r="DV24" s="20"/>
    </row>
    <row r="25" spans="1:126">
      <c r="A25" s="7" t="s">
        <v>25</v>
      </c>
      <c r="CL25" s="20"/>
      <c r="CM25" s="20"/>
      <c r="DK25" s="20"/>
      <c r="DL25" s="20"/>
      <c r="DM25" s="20"/>
      <c r="DN25" s="20"/>
      <c r="DP25" s="20"/>
      <c r="DQ25" s="20"/>
      <c r="DR25" s="20"/>
      <c r="DS25" s="20"/>
      <c r="DU25" s="20"/>
      <c r="DV25" s="20"/>
    </row>
    <row r="26" spans="1:126">
      <c r="A26" s="1" t="s">
        <v>71</v>
      </c>
      <c r="B26" s="1">
        <v>7518</v>
      </c>
      <c r="D26" s="1">
        <v>17883</v>
      </c>
      <c r="F26" s="1">
        <v>10670</v>
      </c>
      <c r="I26" s="1">
        <v>13688</v>
      </c>
      <c r="K26" s="1">
        <v>1628</v>
      </c>
      <c r="N26" s="1">
        <v>7145</v>
      </c>
      <c r="P26" s="1">
        <v>37134</v>
      </c>
      <c r="R26" s="1">
        <v>4205</v>
      </c>
      <c r="T26" s="1">
        <v>31026</v>
      </c>
      <c r="V26" s="1">
        <v>9981</v>
      </c>
      <c r="Y26" s="14"/>
      <c r="AA26" s="1">
        <v>9160</v>
      </c>
      <c r="AC26" s="1">
        <v>6385</v>
      </c>
      <c r="AF26" s="1">
        <v>30372</v>
      </c>
      <c r="AH26" s="1">
        <v>50041</v>
      </c>
      <c r="AJ26" s="1">
        <v>38350</v>
      </c>
      <c r="AL26" s="1">
        <v>23434</v>
      </c>
      <c r="AQ26" s="1">
        <v>12181</v>
      </c>
      <c r="AU26" s="1">
        <v>9700</v>
      </c>
      <c r="AW26" s="1">
        <v>9700</v>
      </c>
      <c r="AY26" s="1">
        <v>9700</v>
      </c>
      <c r="BA26" s="1">
        <v>25</v>
      </c>
      <c r="BF26" s="1">
        <v>1965</v>
      </c>
      <c r="BI26" s="1">
        <v>9959</v>
      </c>
      <c r="BK26" s="1">
        <v>6458</v>
      </c>
      <c r="BN26" s="1">
        <v>19862</v>
      </c>
      <c r="BP26" s="1">
        <v>51766</v>
      </c>
      <c r="BR26" s="1">
        <v>1377</v>
      </c>
      <c r="BU26" s="1">
        <v>31039</v>
      </c>
      <c r="BW26" s="1">
        <v>13917</v>
      </c>
      <c r="BZ26" s="1">
        <v>10793</v>
      </c>
      <c r="CC26" s="1">
        <v>203</v>
      </c>
      <c r="CD26" s="14" t="s">
        <v>66</v>
      </c>
      <c r="CE26" s="1">
        <v>64</v>
      </c>
      <c r="CF26" s="16" t="s">
        <v>66</v>
      </c>
      <c r="CG26" s="16"/>
      <c r="CJ26" s="1">
        <v>23935</v>
      </c>
      <c r="CL26" s="20"/>
      <c r="CM26" s="20"/>
      <c r="CN26" s="1">
        <v>9994</v>
      </c>
      <c r="CP26" s="1">
        <v>29918</v>
      </c>
      <c r="CR26" s="1">
        <v>24626</v>
      </c>
      <c r="CT26" s="1">
        <v>24626</v>
      </c>
      <c r="CV26" s="1">
        <v>24626</v>
      </c>
      <c r="CX26" s="1">
        <v>24626</v>
      </c>
      <c r="CZ26" s="1">
        <v>24626</v>
      </c>
      <c r="DB26" s="1">
        <v>24626</v>
      </c>
      <c r="DD26" s="1">
        <v>24626</v>
      </c>
      <c r="DF26" s="1">
        <v>24626</v>
      </c>
      <c r="DI26" s="1">
        <v>1349</v>
      </c>
      <c r="DK26" s="20">
        <v>23935</v>
      </c>
      <c r="DL26" s="20"/>
      <c r="DM26" s="20">
        <v>23935</v>
      </c>
      <c r="DN26" s="20"/>
      <c r="DP26" s="20">
        <v>23935</v>
      </c>
      <c r="DQ26" s="20"/>
      <c r="DR26" s="20">
        <v>23935</v>
      </c>
      <c r="DS26" s="20"/>
      <c r="DU26" s="20">
        <v>23935</v>
      </c>
      <c r="DV26" s="20"/>
    </row>
    <row r="27" spans="1:126">
      <c r="A27" s="1" t="s">
        <v>72</v>
      </c>
      <c r="D27" s="1">
        <v>5057</v>
      </c>
      <c r="F27" s="1">
        <v>3297</v>
      </c>
      <c r="I27" s="1">
        <v>2956</v>
      </c>
      <c r="N27" s="1">
        <v>3944</v>
      </c>
      <c r="P27" s="1">
        <v>15395</v>
      </c>
      <c r="R27" s="1">
        <v>9283</v>
      </c>
      <c r="T27" s="1">
        <v>27841</v>
      </c>
      <c r="V27" s="1">
        <v>16047</v>
      </c>
      <c r="X27" s="1">
        <v>1615</v>
      </c>
      <c r="Y27" s="15"/>
      <c r="AA27" s="1">
        <v>10295</v>
      </c>
      <c r="AC27" s="1">
        <v>5856</v>
      </c>
      <c r="AF27" s="1">
        <v>22025</v>
      </c>
      <c r="AJ27" s="1">
        <v>21164</v>
      </c>
      <c r="AL27" s="1">
        <v>18548</v>
      </c>
      <c r="AO27" s="1">
        <v>4394</v>
      </c>
      <c r="AQ27" s="1">
        <v>22039</v>
      </c>
      <c r="AS27" s="1">
        <v>3786</v>
      </c>
      <c r="AU27" s="1">
        <v>77900</v>
      </c>
      <c r="AW27" s="1">
        <v>77900</v>
      </c>
      <c r="AY27" s="1">
        <v>77900</v>
      </c>
      <c r="BA27" s="1">
        <v>3864</v>
      </c>
      <c r="BC27" s="1">
        <v>13341</v>
      </c>
      <c r="BI27" s="1">
        <v>11458</v>
      </c>
      <c r="BK27" s="1">
        <v>2547</v>
      </c>
      <c r="BN27" s="1">
        <v>9636</v>
      </c>
      <c r="BP27" s="1">
        <v>24371</v>
      </c>
      <c r="BR27" s="1">
        <v>7671</v>
      </c>
      <c r="BU27" s="1">
        <v>12673</v>
      </c>
      <c r="BW27" s="1">
        <v>6987</v>
      </c>
      <c r="BZ27" s="1">
        <v>917</v>
      </c>
      <c r="CC27" s="1">
        <f>509+133</f>
        <v>642</v>
      </c>
      <c r="CD27" s="15"/>
      <c r="CE27" s="1">
        <f>208+58+591+1355</f>
        <v>2212</v>
      </c>
      <c r="CF27" s="16"/>
      <c r="CG27" s="16"/>
      <c r="CH27" s="1">
        <v>59242</v>
      </c>
      <c r="CJ27" s="1">
        <v>29223</v>
      </c>
      <c r="CL27" s="20">
        <v>6179</v>
      </c>
      <c r="CM27" s="20"/>
      <c r="CN27" s="1">
        <v>2577</v>
      </c>
      <c r="CR27" s="1">
        <v>3436</v>
      </c>
      <c r="CT27" s="1">
        <v>3436</v>
      </c>
      <c r="CV27" s="1">
        <v>3436</v>
      </c>
      <c r="CX27" s="1">
        <v>3436</v>
      </c>
      <c r="CZ27" s="1">
        <v>3436</v>
      </c>
      <c r="DB27" s="1">
        <v>3436</v>
      </c>
      <c r="DD27" s="1">
        <v>3436</v>
      </c>
      <c r="DF27" s="1">
        <v>3436</v>
      </c>
      <c r="DI27" s="1">
        <v>5421</v>
      </c>
      <c r="DK27" s="20">
        <v>29223</v>
      </c>
      <c r="DL27" s="20"/>
      <c r="DM27" s="20">
        <v>29223</v>
      </c>
      <c r="DN27" s="20"/>
      <c r="DP27" s="20">
        <v>29223</v>
      </c>
      <c r="DQ27" s="20"/>
      <c r="DR27" s="20">
        <v>29223</v>
      </c>
      <c r="DS27" s="20"/>
      <c r="DU27" s="20">
        <v>29223</v>
      </c>
      <c r="DV27" s="20"/>
    </row>
    <row r="28" spans="1:126">
      <c r="A28" s="1" t="s">
        <v>11</v>
      </c>
      <c r="B28" s="1">
        <v>3024</v>
      </c>
      <c r="D28" s="1">
        <v>9815</v>
      </c>
      <c r="F28" s="1">
        <v>6254</v>
      </c>
      <c r="I28" s="1">
        <v>1820</v>
      </c>
      <c r="K28" s="1">
        <v>129</v>
      </c>
      <c r="N28" s="1">
        <v>15760</v>
      </c>
      <c r="P28" s="1">
        <v>10182</v>
      </c>
      <c r="R28" s="1">
        <v>8872</v>
      </c>
      <c r="T28" s="1">
        <v>18197</v>
      </c>
      <c r="V28" s="1">
        <v>5818</v>
      </c>
      <c r="X28" s="1">
        <v>21882</v>
      </c>
      <c r="AA28" s="1">
        <v>9823</v>
      </c>
      <c r="AC28" s="1">
        <v>18177</v>
      </c>
      <c r="AF28" s="1">
        <v>20331</v>
      </c>
      <c r="AH28" s="1">
        <v>35019</v>
      </c>
      <c r="AJ28" s="1">
        <v>18655</v>
      </c>
      <c r="AL28" s="1">
        <v>31040</v>
      </c>
      <c r="AO28" s="1">
        <v>191897</v>
      </c>
      <c r="AQ28" s="1">
        <v>133690</v>
      </c>
      <c r="AS28" s="1">
        <v>63763</v>
      </c>
      <c r="AU28" s="1">
        <v>439100</v>
      </c>
      <c r="AW28" s="1">
        <v>439100</v>
      </c>
      <c r="AY28" s="1">
        <v>439100</v>
      </c>
      <c r="BA28" s="1">
        <v>42225</v>
      </c>
      <c r="BC28" s="1">
        <v>75759</v>
      </c>
      <c r="BF28" s="1">
        <v>9926</v>
      </c>
      <c r="BI28" s="1">
        <v>9602</v>
      </c>
      <c r="BK28" s="1">
        <v>3054</v>
      </c>
      <c r="BN28" s="1">
        <v>9059</v>
      </c>
      <c r="BP28" s="1">
        <v>16461</v>
      </c>
      <c r="BR28" s="1">
        <v>3504</v>
      </c>
      <c r="BU28" s="1">
        <v>26895</v>
      </c>
      <c r="BW28" s="1">
        <v>9344</v>
      </c>
      <c r="BZ28" s="1">
        <v>3201</v>
      </c>
      <c r="CC28" s="1">
        <v>5138</v>
      </c>
      <c r="CE28" s="1">
        <v>22186</v>
      </c>
      <c r="CH28" s="1">
        <v>42389</v>
      </c>
      <c r="CJ28" s="1">
        <v>59458</v>
      </c>
      <c r="CL28" s="20">
        <v>15113</v>
      </c>
      <c r="CM28" s="20"/>
      <c r="CN28" s="1">
        <f>17177+713</f>
        <v>17890</v>
      </c>
      <c r="CP28" s="1">
        <v>10847</v>
      </c>
      <c r="CR28" s="1">
        <v>13860</v>
      </c>
      <c r="CT28" s="1">
        <v>13860</v>
      </c>
      <c r="CV28" s="1">
        <v>13860</v>
      </c>
      <c r="CX28" s="1">
        <v>13860</v>
      </c>
      <c r="CZ28" s="1">
        <v>13860</v>
      </c>
      <c r="DB28" s="1">
        <v>13860</v>
      </c>
      <c r="DD28" s="1">
        <v>13860</v>
      </c>
      <c r="DF28" s="1">
        <v>13860</v>
      </c>
      <c r="DI28" s="1">
        <v>70827</v>
      </c>
      <c r="DK28" s="20">
        <v>59458</v>
      </c>
      <c r="DL28" s="20"/>
      <c r="DM28" s="20">
        <v>59458</v>
      </c>
      <c r="DN28" s="20"/>
      <c r="DP28" s="20">
        <v>59458</v>
      </c>
      <c r="DQ28" s="20"/>
      <c r="DR28" s="20">
        <v>59458</v>
      </c>
      <c r="DS28" s="20"/>
      <c r="DU28" s="20">
        <v>59458</v>
      </c>
      <c r="DV28" s="20"/>
    </row>
    <row r="29" spans="1:126">
      <c r="A29" s="1" t="s">
        <v>102</v>
      </c>
      <c r="D29" s="1">
        <v>3022</v>
      </c>
      <c r="F29" s="1">
        <v>197</v>
      </c>
      <c r="P29" s="1">
        <v>448</v>
      </c>
      <c r="R29" s="1">
        <f>1202+323</f>
        <v>1525</v>
      </c>
      <c r="T29" s="1">
        <v>9225</v>
      </c>
      <c r="V29" s="1">
        <v>281</v>
      </c>
      <c r="AF29" s="1">
        <f>38635+774</f>
        <v>39409</v>
      </c>
      <c r="AL29" s="1">
        <v>2424</v>
      </c>
      <c r="AO29" s="1">
        <v>34613</v>
      </c>
      <c r="AQ29" s="1">
        <f>9199+16636+1565</f>
        <v>27400</v>
      </c>
      <c r="AS29" s="1">
        <v>6180</v>
      </c>
      <c r="BA29" s="1">
        <v>2933</v>
      </c>
      <c r="BC29" s="1">
        <f>14804+1207</f>
        <v>16011</v>
      </c>
      <c r="BI29" s="1">
        <v>152</v>
      </c>
      <c r="BU29" s="1">
        <v>12315</v>
      </c>
      <c r="CC29" s="1">
        <v>21</v>
      </c>
      <c r="CH29" s="1">
        <f>427+7934+3941</f>
        <v>12302</v>
      </c>
      <c r="CL29" s="20">
        <f>652+553</f>
        <v>1205</v>
      </c>
      <c r="CM29" s="20"/>
      <c r="CN29" s="1">
        <v>5747</v>
      </c>
      <c r="CP29" s="1">
        <v>16640</v>
      </c>
      <c r="DI29" s="1">
        <v>3957</v>
      </c>
      <c r="DK29" s="20"/>
      <c r="DL29" s="20"/>
      <c r="DM29" s="20"/>
      <c r="DN29" s="20"/>
      <c r="DP29" s="20"/>
      <c r="DQ29" s="20"/>
      <c r="DR29" s="20"/>
      <c r="DS29" s="20"/>
      <c r="DU29" s="20"/>
      <c r="DV29" s="20"/>
    </row>
    <row r="30" spans="1:126">
      <c r="A30" s="1" t="s">
        <v>140</v>
      </c>
      <c r="D30" s="1">
        <v>15117</v>
      </c>
      <c r="I30" s="1">
        <v>607</v>
      </c>
      <c r="P30" s="1">
        <v>4826</v>
      </c>
      <c r="T30" s="1">
        <v>1523</v>
      </c>
      <c r="V30" s="1">
        <f>365+1867</f>
        <v>2232</v>
      </c>
      <c r="X30" s="1">
        <v>551</v>
      </c>
      <c r="AF30" s="1">
        <f>52+4302</f>
        <v>4354</v>
      </c>
      <c r="AL30" s="1">
        <v>7775</v>
      </c>
      <c r="AO30" s="1">
        <v>4715</v>
      </c>
      <c r="AQ30" s="1">
        <f>763+5985+3509+922</f>
        <v>11179</v>
      </c>
      <c r="AS30" s="1">
        <v>858</v>
      </c>
      <c r="BC30" s="1">
        <v>1028</v>
      </c>
      <c r="BI30" s="1">
        <v>7080</v>
      </c>
      <c r="BK30" s="1">
        <v>9208</v>
      </c>
      <c r="BU30" s="1">
        <f>4550+537</f>
        <v>5087</v>
      </c>
      <c r="BW30" s="1">
        <f>505+991</f>
        <v>1496</v>
      </c>
      <c r="CC30" s="1">
        <v>82</v>
      </c>
      <c r="CE30" s="1">
        <v>659</v>
      </c>
      <c r="CH30" s="1">
        <f>22259+51198+7040</f>
        <v>80497</v>
      </c>
      <c r="CL30" s="20">
        <f>32616+2593</f>
        <v>35209</v>
      </c>
      <c r="CM30" s="20"/>
      <c r="CN30" s="1">
        <v>89105</v>
      </c>
      <c r="CP30" s="1">
        <f>149912+296361+450521</f>
        <v>896794</v>
      </c>
      <c r="DI30" s="1">
        <f>2140+983</f>
        <v>3123</v>
      </c>
      <c r="DK30" s="20"/>
      <c r="DL30" s="20"/>
      <c r="DM30" s="20"/>
      <c r="DN30" s="20"/>
      <c r="DP30" s="20"/>
      <c r="DQ30" s="20"/>
      <c r="DR30" s="20"/>
      <c r="DS30" s="20"/>
      <c r="DU30" s="20"/>
      <c r="DV30" s="20"/>
    </row>
    <row r="31" spans="1:126">
      <c r="A31" s="1" t="s">
        <v>19</v>
      </c>
      <c r="B31" s="1">
        <v>1711</v>
      </c>
      <c r="D31" s="1">
        <v>3234</v>
      </c>
      <c r="F31" s="1">
        <v>370</v>
      </c>
      <c r="I31" s="1">
        <v>294</v>
      </c>
      <c r="K31" s="1">
        <v>19</v>
      </c>
      <c r="N31" s="1">
        <v>4707</v>
      </c>
      <c r="P31" s="1">
        <v>4154</v>
      </c>
      <c r="R31" s="1">
        <v>2084</v>
      </c>
      <c r="T31" s="1">
        <v>7375</v>
      </c>
      <c r="V31" s="1">
        <v>1205</v>
      </c>
      <c r="X31" s="1">
        <v>4231</v>
      </c>
      <c r="AA31" s="1">
        <v>1311</v>
      </c>
      <c r="AC31" s="1">
        <v>1545</v>
      </c>
      <c r="AF31" s="1">
        <v>2920</v>
      </c>
      <c r="AH31" s="1">
        <v>7308</v>
      </c>
      <c r="AJ31" s="1">
        <v>1970</v>
      </c>
      <c r="AL31" s="1">
        <v>6376</v>
      </c>
      <c r="AO31" s="1">
        <v>5785</v>
      </c>
      <c r="AQ31" s="1">
        <v>985</v>
      </c>
      <c r="AS31" s="1">
        <v>4658</v>
      </c>
      <c r="AU31" s="1">
        <v>3900</v>
      </c>
      <c r="AW31" s="1">
        <v>3900</v>
      </c>
      <c r="AY31" s="1">
        <v>3900</v>
      </c>
      <c r="BA31" s="1">
        <v>1397</v>
      </c>
      <c r="BC31" s="1">
        <v>2810</v>
      </c>
      <c r="BF31" s="1">
        <v>450</v>
      </c>
      <c r="BI31" s="1">
        <v>432</v>
      </c>
      <c r="BK31" s="1">
        <v>677</v>
      </c>
      <c r="BN31" s="1">
        <v>71</v>
      </c>
      <c r="BP31" s="1">
        <v>807</v>
      </c>
      <c r="BR31" s="1">
        <v>243</v>
      </c>
      <c r="BU31" s="1">
        <v>2243</v>
      </c>
      <c r="BZ31" s="1">
        <v>327</v>
      </c>
      <c r="CC31" s="1">
        <v>530</v>
      </c>
      <c r="CE31" s="1">
        <v>1367</v>
      </c>
      <c r="CH31" s="1">
        <v>5622</v>
      </c>
      <c r="CJ31" s="1">
        <v>7915</v>
      </c>
      <c r="CL31" s="20">
        <v>1620</v>
      </c>
      <c r="CM31" s="20"/>
      <c r="CN31" s="1">
        <v>9048</v>
      </c>
      <c r="CP31" s="1">
        <v>7456</v>
      </c>
      <c r="CR31" s="1">
        <v>19757</v>
      </c>
      <c r="CT31" s="1">
        <v>19757</v>
      </c>
      <c r="CV31" s="1">
        <v>19757</v>
      </c>
      <c r="CX31" s="1">
        <v>19757</v>
      </c>
      <c r="CZ31" s="1">
        <v>19757</v>
      </c>
      <c r="DB31" s="1">
        <v>19757</v>
      </c>
      <c r="DD31" s="1">
        <v>19757</v>
      </c>
      <c r="DF31" s="1">
        <v>19757</v>
      </c>
      <c r="DI31" s="1">
        <v>3555</v>
      </c>
      <c r="DK31" s="20">
        <v>7915</v>
      </c>
      <c r="DL31" s="20"/>
      <c r="DM31" s="20">
        <v>7915</v>
      </c>
      <c r="DN31" s="20"/>
      <c r="DP31" s="20">
        <v>7915</v>
      </c>
      <c r="DQ31" s="20"/>
      <c r="DR31" s="20">
        <v>7915</v>
      </c>
      <c r="DS31" s="20"/>
      <c r="DU31" s="20">
        <v>7915</v>
      </c>
      <c r="DV31" s="20"/>
    </row>
    <row r="32" spans="1:126">
      <c r="A32" s="1" t="s">
        <v>12</v>
      </c>
      <c r="B32" s="4">
        <v>1213</v>
      </c>
      <c r="D32" s="4">
        <v>871</v>
      </c>
      <c r="F32" s="4">
        <f>758+93</f>
        <v>851</v>
      </c>
      <c r="I32" s="4">
        <f>98+107+172</f>
        <v>377</v>
      </c>
      <c r="K32" s="4"/>
      <c r="N32" s="4">
        <f>636+811</f>
        <v>1447</v>
      </c>
      <c r="P32" s="4"/>
      <c r="R32" s="4">
        <v>890</v>
      </c>
      <c r="T32" s="4">
        <f>525</f>
        <v>525</v>
      </c>
      <c r="V32" s="4"/>
      <c r="X32" s="4"/>
      <c r="AA32" s="4">
        <v>2108</v>
      </c>
      <c r="AC32" s="4">
        <v>3575</v>
      </c>
      <c r="AF32" s="4"/>
      <c r="AH32" s="4">
        <v>11809</v>
      </c>
      <c r="AJ32" s="4">
        <v>39412</v>
      </c>
      <c r="AL32" s="4"/>
      <c r="AO32" s="4">
        <f>3574+9191</f>
        <v>12765</v>
      </c>
      <c r="AQ32" s="4">
        <v>1376</v>
      </c>
      <c r="AS32" s="4">
        <v>6249</v>
      </c>
      <c r="AU32" s="4">
        <v>70800</v>
      </c>
      <c r="AW32" s="4">
        <v>70800</v>
      </c>
      <c r="AY32" s="4">
        <v>70800</v>
      </c>
      <c r="BA32" s="4">
        <f>777+623</f>
        <v>1400</v>
      </c>
      <c r="BC32" s="4">
        <v>3195</v>
      </c>
      <c r="BF32" s="4">
        <v>2470</v>
      </c>
      <c r="BI32" s="4">
        <v>909</v>
      </c>
      <c r="BK32" s="4"/>
      <c r="BN32" s="4">
        <v>11960</v>
      </c>
      <c r="BP32" s="4">
        <v>8586</v>
      </c>
      <c r="BR32" s="4">
        <v>3688</v>
      </c>
      <c r="BU32" s="4">
        <f>124</f>
        <v>124</v>
      </c>
      <c r="BW32" s="4">
        <f>563+1084</f>
        <v>1647</v>
      </c>
      <c r="BZ32" s="4">
        <v>2903</v>
      </c>
      <c r="CC32" s="4">
        <v>375</v>
      </c>
      <c r="CE32" s="4"/>
      <c r="CH32" s="4">
        <f>1456+633</f>
        <v>2089</v>
      </c>
      <c r="CJ32" s="4">
        <v>70051</v>
      </c>
      <c r="CL32" s="22">
        <f>25914+954</f>
        <v>26868</v>
      </c>
      <c r="CM32" s="20"/>
      <c r="CN32" s="4">
        <f>260111+305512</f>
        <v>565623</v>
      </c>
      <c r="CP32" s="4">
        <f>11006+985+17354</f>
        <v>29345</v>
      </c>
      <c r="CR32" s="4">
        <v>659706</v>
      </c>
      <c r="CT32" s="4">
        <v>659706</v>
      </c>
      <c r="CV32" s="4">
        <v>659706</v>
      </c>
      <c r="CX32" s="4">
        <v>659706</v>
      </c>
      <c r="CZ32" s="4">
        <v>659706</v>
      </c>
      <c r="DB32" s="4">
        <v>659706</v>
      </c>
      <c r="DD32" s="4">
        <v>659706</v>
      </c>
      <c r="DF32" s="4">
        <v>659706</v>
      </c>
      <c r="DI32" s="4">
        <v>511</v>
      </c>
      <c r="DK32" s="22">
        <v>70051</v>
      </c>
      <c r="DL32" s="20"/>
      <c r="DM32" s="22">
        <v>70051</v>
      </c>
      <c r="DN32" s="20"/>
      <c r="DP32" s="22">
        <v>70051</v>
      </c>
      <c r="DQ32" s="20"/>
      <c r="DR32" s="22">
        <v>70051</v>
      </c>
      <c r="DS32" s="20"/>
      <c r="DU32" s="22">
        <v>70051</v>
      </c>
      <c r="DV32" s="20"/>
    </row>
    <row r="33" spans="1:126">
      <c r="B33" s="1">
        <f>SUM(B26:B32)</f>
        <v>13466</v>
      </c>
      <c r="D33" s="1">
        <f>SUM(D26:D32)</f>
        <v>54999</v>
      </c>
      <c r="F33" s="1">
        <f>SUM(F26:F32)</f>
        <v>21639</v>
      </c>
      <c r="I33" s="1">
        <f>SUM(I26:I32)</f>
        <v>19742</v>
      </c>
      <c r="K33" s="1">
        <f>SUM(K26:K32)</f>
        <v>1776</v>
      </c>
      <c r="N33" s="1">
        <f>SUM(N26:N32)+N269</f>
        <v>33003</v>
      </c>
      <c r="P33" s="1">
        <f>SUM(P26:P32)</f>
        <v>72139</v>
      </c>
      <c r="R33" s="1">
        <f>SUM(R26:R32)</f>
        <v>26859</v>
      </c>
      <c r="T33" s="1">
        <f>SUM(T26:T32)</f>
        <v>95712</v>
      </c>
      <c r="V33" s="1">
        <f>SUM(V26:V32)</f>
        <v>35564</v>
      </c>
      <c r="X33" s="1">
        <f>SUM(X26:X32)</f>
        <v>28279</v>
      </c>
      <c r="AA33" s="1">
        <f>SUM(AA26:AA32)</f>
        <v>32697</v>
      </c>
      <c r="AC33" s="1">
        <f>SUM(AC26:AC32)</f>
        <v>35538</v>
      </c>
      <c r="AF33" s="1">
        <f>SUM(AF26:AF32)</f>
        <v>119411</v>
      </c>
      <c r="AH33" s="1">
        <f>SUM(AH26:AH32)</f>
        <v>104177</v>
      </c>
      <c r="AJ33" s="1">
        <f>SUM(AJ26:AJ32)</f>
        <v>119551</v>
      </c>
      <c r="AL33" s="1">
        <f>SUM(AL26:AL32)</f>
        <v>89597</v>
      </c>
      <c r="AO33" s="1">
        <f>SUM(AO26:AO32)</f>
        <v>254169</v>
      </c>
      <c r="AQ33" s="1">
        <f>SUM(AQ26:AQ32)</f>
        <v>208850</v>
      </c>
      <c r="AS33" s="1">
        <f>SUM(AS26:AS32)</f>
        <v>85494</v>
      </c>
      <c r="AU33" s="1">
        <f>SUM(AU26:AU32)</f>
        <v>601400</v>
      </c>
      <c r="AW33" s="1">
        <f>SUM(AW26:AW32)</f>
        <v>601400</v>
      </c>
      <c r="AY33" s="1">
        <f>SUM(AY26:AY32)</f>
        <v>601400</v>
      </c>
      <c r="BA33" s="1">
        <f>SUM(BA26:BA32)</f>
        <v>51844</v>
      </c>
      <c r="BC33" s="1">
        <f>SUM(BC26:BC32)</f>
        <v>112144</v>
      </c>
      <c r="BF33" s="1">
        <f>SUM(BF26:BF32)</f>
        <v>14811</v>
      </c>
      <c r="BI33" s="1">
        <f>SUM(BI26:BI32)</f>
        <v>39592</v>
      </c>
      <c r="BK33" s="1">
        <f>SUM(BK26:BK32)</f>
        <v>21944</v>
      </c>
      <c r="BN33" s="1">
        <f>SUM(BN26:BN32)</f>
        <v>50588</v>
      </c>
      <c r="BP33" s="1">
        <f>SUM(BP26:BP32)</f>
        <v>101991</v>
      </c>
      <c r="BR33" s="1">
        <f>SUM(BR26:BR32)</f>
        <v>16483</v>
      </c>
      <c r="BU33" s="1">
        <f>SUM(BU26:BU32)</f>
        <v>90376</v>
      </c>
      <c r="BW33" s="1">
        <f>SUM(BW26:BW32)</f>
        <v>33391</v>
      </c>
      <c r="BZ33" s="1">
        <f>SUM(BZ26:BZ32)</f>
        <v>18141</v>
      </c>
      <c r="CC33" s="1">
        <f>SUM(CC26:CC32)</f>
        <v>6991</v>
      </c>
      <c r="CE33" s="1">
        <f>SUM(CE26:CE32)</f>
        <v>26488</v>
      </c>
      <c r="CH33" s="1">
        <f>SUM(CH26:CH32)</f>
        <v>202141</v>
      </c>
      <c r="CJ33" s="1">
        <f>SUM(CJ26:CJ32)</f>
        <v>190582</v>
      </c>
      <c r="CL33" s="1">
        <f>SUM(CL26:CL32)</f>
        <v>86194</v>
      </c>
      <c r="CM33" s="20"/>
      <c r="CN33" s="1">
        <f>SUM(CN26:CN32)</f>
        <v>699984</v>
      </c>
      <c r="CP33" s="1">
        <f>SUM(CP26:CP32)</f>
        <v>991000</v>
      </c>
      <c r="CR33" s="1">
        <f>SUM(CR26:CR32)</f>
        <v>721385</v>
      </c>
      <c r="CT33" s="1">
        <f>SUM(CT26:CT32)</f>
        <v>721385</v>
      </c>
      <c r="CV33" s="1">
        <f>SUM(CV26:CV32)</f>
        <v>721385</v>
      </c>
      <c r="CX33" s="1">
        <f>SUM(CX26:CX32)</f>
        <v>721385</v>
      </c>
      <c r="CZ33" s="1">
        <f>SUM(CZ26:CZ32)</f>
        <v>721385</v>
      </c>
      <c r="DB33" s="1">
        <f>SUM(DB26:DB32)</f>
        <v>721385</v>
      </c>
      <c r="DD33" s="1">
        <f>SUM(DD26:DD32)</f>
        <v>721385</v>
      </c>
      <c r="DF33" s="1">
        <f>SUM(DF26:DF32)</f>
        <v>721385</v>
      </c>
      <c r="DI33" s="1">
        <f>SUM(DI26:DI32)</f>
        <v>88743</v>
      </c>
      <c r="DK33" s="20">
        <v>190582</v>
      </c>
      <c r="DL33" s="20"/>
      <c r="DM33" s="20">
        <v>190582</v>
      </c>
      <c r="DN33" s="20"/>
      <c r="DP33" s="20">
        <v>190582</v>
      </c>
      <c r="DQ33" s="20"/>
      <c r="DR33" s="20">
        <v>190582</v>
      </c>
      <c r="DS33" s="20"/>
      <c r="DU33" s="20">
        <v>190582</v>
      </c>
      <c r="DV33" s="20"/>
    </row>
    <row r="34" spans="1:126">
      <c r="A34" s="7" t="s">
        <v>26</v>
      </c>
      <c r="CL34" s="20"/>
      <c r="CM34" s="20"/>
      <c r="DK34" s="20"/>
      <c r="DL34" s="20"/>
      <c r="DM34" s="20"/>
      <c r="DN34" s="20"/>
      <c r="DP34" s="20"/>
      <c r="DQ34" s="20"/>
      <c r="DR34" s="20"/>
      <c r="DS34" s="20"/>
      <c r="DU34" s="20"/>
      <c r="DV34" s="20"/>
    </row>
    <row r="35" spans="1:126">
      <c r="A35" s="1" t="s">
        <v>13</v>
      </c>
      <c r="B35" s="1">
        <v>7302</v>
      </c>
      <c r="D35" s="1">
        <v>15560</v>
      </c>
      <c r="F35" s="1">
        <v>6004</v>
      </c>
      <c r="K35" s="1">
        <v>2</v>
      </c>
      <c r="N35" s="1">
        <v>5906</v>
      </c>
      <c r="P35" s="1">
        <v>6352</v>
      </c>
      <c r="R35" s="1">
        <v>3900</v>
      </c>
      <c r="T35" s="1">
        <v>7267</v>
      </c>
      <c r="V35" s="1">
        <v>1909</v>
      </c>
      <c r="X35" s="1">
        <v>9552</v>
      </c>
      <c r="AA35" s="1">
        <v>6368</v>
      </c>
      <c r="AC35" s="1">
        <v>9930</v>
      </c>
      <c r="AF35" s="1">
        <v>450</v>
      </c>
      <c r="AH35" s="1">
        <v>1188</v>
      </c>
      <c r="AJ35" s="1">
        <v>486</v>
      </c>
      <c r="AL35" s="1">
        <v>985</v>
      </c>
      <c r="AO35" s="1">
        <v>30009</v>
      </c>
      <c r="AQ35" s="1">
        <v>29231</v>
      </c>
      <c r="AS35" s="1">
        <v>7939</v>
      </c>
      <c r="AU35" s="1">
        <v>25300</v>
      </c>
      <c r="AW35" s="1">
        <v>25300</v>
      </c>
      <c r="AY35" s="1">
        <v>25300</v>
      </c>
      <c r="BA35" s="1">
        <v>838</v>
      </c>
      <c r="BC35" s="1">
        <v>16023</v>
      </c>
      <c r="BF35" s="1">
        <v>414</v>
      </c>
      <c r="BI35" s="1">
        <v>8586</v>
      </c>
      <c r="BK35" s="1">
        <v>2159</v>
      </c>
      <c r="BN35" s="1">
        <v>1175</v>
      </c>
      <c r="BP35" s="1">
        <v>2500</v>
      </c>
      <c r="BR35" s="1">
        <v>4222</v>
      </c>
      <c r="BU35" s="1">
        <v>8382</v>
      </c>
      <c r="BW35" s="1">
        <v>3937</v>
      </c>
      <c r="BZ35" s="1">
        <v>4026</v>
      </c>
      <c r="CC35" s="1">
        <v>1677</v>
      </c>
      <c r="CE35" s="1">
        <v>16695</v>
      </c>
      <c r="CH35" s="1">
        <v>28653</v>
      </c>
      <c r="CJ35" s="1">
        <v>28674</v>
      </c>
      <c r="CL35" s="20">
        <v>9585</v>
      </c>
      <c r="CM35" s="20"/>
      <c r="DI35" s="1">
        <v>5737</v>
      </c>
      <c r="DK35" s="20">
        <v>28674</v>
      </c>
      <c r="DL35" s="20"/>
      <c r="DM35" s="20">
        <v>28674</v>
      </c>
      <c r="DN35" s="20"/>
      <c r="DP35" s="20">
        <v>28674</v>
      </c>
      <c r="DQ35" s="20"/>
      <c r="DR35" s="20">
        <v>28674</v>
      </c>
      <c r="DS35" s="20"/>
      <c r="DU35" s="20">
        <v>28674</v>
      </c>
      <c r="DV35" s="20"/>
    </row>
    <row r="36" spans="1:126">
      <c r="A36" s="1" t="s">
        <v>14</v>
      </c>
      <c r="B36" s="1">
        <v>5285</v>
      </c>
      <c r="D36" s="1">
        <v>14853</v>
      </c>
      <c r="F36" s="1">
        <v>12146</v>
      </c>
      <c r="I36" s="1">
        <v>3865</v>
      </c>
      <c r="K36" s="1">
        <v>311</v>
      </c>
      <c r="N36" s="1">
        <v>8808</v>
      </c>
      <c r="P36" s="1">
        <v>6831</v>
      </c>
      <c r="R36" s="1">
        <v>5442</v>
      </c>
      <c r="T36" s="1">
        <v>9902</v>
      </c>
      <c r="V36" s="1">
        <v>7879</v>
      </c>
      <c r="X36" s="1">
        <v>10907</v>
      </c>
      <c r="AA36" s="1">
        <v>7061</v>
      </c>
      <c r="AC36" s="1">
        <v>10138</v>
      </c>
      <c r="AF36" s="1">
        <v>9412</v>
      </c>
      <c r="AH36" s="1">
        <v>10711</v>
      </c>
      <c r="AJ36" s="1">
        <v>10744</v>
      </c>
      <c r="AL36" s="1">
        <v>9640</v>
      </c>
      <c r="AO36" s="1">
        <v>63638</v>
      </c>
      <c r="AQ36" s="1">
        <v>39831</v>
      </c>
      <c r="AS36" s="1">
        <v>28890</v>
      </c>
      <c r="AU36" s="1">
        <v>74000</v>
      </c>
      <c r="AW36" s="1">
        <v>74000</v>
      </c>
      <c r="AY36" s="1">
        <v>74000</v>
      </c>
      <c r="BA36" s="1">
        <v>6900</v>
      </c>
      <c r="BC36" s="1">
        <v>16984</v>
      </c>
      <c r="BF36" s="1">
        <v>1149</v>
      </c>
      <c r="BI36" s="1">
        <v>2189</v>
      </c>
      <c r="BK36" s="1">
        <v>3253</v>
      </c>
      <c r="BN36" s="1">
        <v>2067</v>
      </c>
      <c r="BP36" s="1">
        <v>195</v>
      </c>
      <c r="BR36" s="1">
        <v>2484</v>
      </c>
      <c r="BU36" s="1">
        <v>12206</v>
      </c>
      <c r="BW36" s="1">
        <v>4831</v>
      </c>
      <c r="BZ36" s="1">
        <v>2741</v>
      </c>
      <c r="CC36" s="1">
        <v>815</v>
      </c>
      <c r="CE36" s="1">
        <v>3107</v>
      </c>
      <c r="CH36" s="1">
        <v>11133</v>
      </c>
      <c r="CJ36" s="1">
        <v>47011</v>
      </c>
      <c r="CL36" s="20">
        <v>2449</v>
      </c>
      <c r="CM36" s="20"/>
      <c r="DI36" s="1">
        <v>4667</v>
      </c>
      <c r="DK36" s="20">
        <v>47011</v>
      </c>
      <c r="DL36" s="20"/>
      <c r="DM36" s="20">
        <v>47011</v>
      </c>
      <c r="DN36" s="20"/>
      <c r="DP36" s="20">
        <v>47011</v>
      </c>
      <c r="DQ36" s="20"/>
      <c r="DR36" s="20">
        <v>47011</v>
      </c>
      <c r="DS36" s="20"/>
      <c r="DU36" s="20">
        <v>47011</v>
      </c>
      <c r="DV36" s="20"/>
    </row>
    <row r="37" spans="1:126">
      <c r="A37" s="1" t="s">
        <v>132</v>
      </c>
      <c r="I37" s="1">
        <v>251</v>
      </c>
      <c r="AL37" s="1">
        <v>2117</v>
      </c>
      <c r="CH37" s="1">
        <v>38386</v>
      </c>
      <c r="CL37" s="20">
        <f>21501</f>
        <v>21501</v>
      </c>
      <c r="CM37" s="20"/>
      <c r="DK37" s="20"/>
      <c r="DL37" s="20"/>
      <c r="DM37" s="20"/>
      <c r="DN37" s="20"/>
      <c r="DP37" s="20"/>
      <c r="DQ37" s="20"/>
      <c r="DR37" s="20"/>
      <c r="DS37" s="20"/>
      <c r="DU37" s="20"/>
      <c r="DV37" s="20"/>
    </row>
    <row r="38" spans="1:126">
      <c r="A38" s="1" t="s">
        <v>15</v>
      </c>
      <c r="D38" s="1">
        <f>3250+794+1297</f>
        <v>5341</v>
      </c>
      <c r="F38" s="1">
        <f>252+832+706</f>
        <v>1790</v>
      </c>
      <c r="I38" s="1">
        <f>346+142</f>
        <v>488</v>
      </c>
      <c r="N38" s="1">
        <f>218+2297</f>
        <v>2515</v>
      </c>
      <c r="P38" s="1">
        <v>2287</v>
      </c>
      <c r="R38" s="1">
        <f>155+129</f>
        <v>284</v>
      </c>
      <c r="T38" s="1">
        <v>3392</v>
      </c>
      <c r="V38" s="1">
        <f>40+494</f>
        <v>534</v>
      </c>
      <c r="X38" s="1">
        <f>3155+2454+1521</f>
        <v>7130</v>
      </c>
      <c r="AF38" s="1">
        <f>452</f>
        <v>452</v>
      </c>
      <c r="AL38" s="1">
        <v>1664</v>
      </c>
      <c r="AQ38" s="1">
        <f>216+512+1388+2675</f>
        <v>4791</v>
      </c>
      <c r="AS38" s="1">
        <v>2962</v>
      </c>
      <c r="BA38" s="1">
        <f>77+107</f>
        <v>184</v>
      </c>
      <c r="BC38" s="1">
        <f>536+10798</f>
        <v>11334</v>
      </c>
      <c r="BI38" s="1">
        <f>235+1851</f>
        <v>2086</v>
      </c>
      <c r="BK38" s="1">
        <f>1168+167</f>
        <v>1335</v>
      </c>
      <c r="BU38" s="1">
        <f>762+230+1151</f>
        <v>2143</v>
      </c>
      <c r="BW38" s="1">
        <f>217+760</f>
        <v>977</v>
      </c>
      <c r="CC38" s="1">
        <f>13+96+105</f>
        <v>214</v>
      </c>
      <c r="CE38" s="1">
        <f>907+1255</f>
        <v>2162</v>
      </c>
      <c r="CH38" s="1">
        <f>6591+5030+729</f>
        <v>12350</v>
      </c>
      <c r="CL38" s="20">
        <f>1151+4265</f>
        <v>5416</v>
      </c>
      <c r="CM38" s="20"/>
      <c r="DK38" s="20"/>
      <c r="DL38" s="20"/>
      <c r="DM38" s="20"/>
      <c r="DN38" s="20"/>
      <c r="DP38" s="20"/>
      <c r="DQ38" s="20"/>
      <c r="DR38" s="20"/>
      <c r="DS38" s="20"/>
      <c r="DU38" s="20"/>
      <c r="DV38" s="20"/>
    </row>
    <row r="39" spans="1:126">
      <c r="A39" s="1" t="s">
        <v>133</v>
      </c>
      <c r="D39" s="1">
        <v>600</v>
      </c>
      <c r="F39" s="1">
        <v>464</v>
      </c>
      <c r="N39" s="1">
        <v>7935</v>
      </c>
      <c r="P39" s="1">
        <v>185</v>
      </c>
      <c r="R39" s="1">
        <v>66</v>
      </c>
      <c r="T39" s="1">
        <v>2535</v>
      </c>
      <c r="V39" s="1">
        <v>796</v>
      </c>
      <c r="X39" s="1">
        <v>3741</v>
      </c>
      <c r="AF39" s="1">
        <v>5350</v>
      </c>
      <c r="AQ39" s="1">
        <v>467</v>
      </c>
      <c r="AS39" s="1">
        <v>5239</v>
      </c>
      <c r="BU39" s="1">
        <v>638</v>
      </c>
      <c r="CC39" s="1">
        <v>213</v>
      </c>
      <c r="CE39" s="1">
        <v>3306</v>
      </c>
      <c r="CH39" s="1">
        <v>8492</v>
      </c>
      <c r="CL39" s="20">
        <v>5559</v>
      </c>
      <c r="CM39" s="20"/>
      <c r="DI39" s="1">
        <v>710</v>
      </c>
      <c r="DK39" s="20"/>
      <c r="DL39" s="20"/>
      <c r="DM39" s="20"/>
      <c r="DN39" s="20"/>
      <c r="DP39" s="20"/>
      <c r="DQ39" s="20"/>
      <c r="DR39" s="20"/>
      <c r="DS39" s="20"/>
      <c r="DU39" s="20"/>
      <c r="DV39" s="20"/>
    </row>
    <row r="40" spans="1:126">
      <c r="A40" s="1" t="s">
        <v>103</v>
      </c>
      <c r="D40" s="6">
        <v>9190</v>
      </c>
      <c r="F40" s="1">
        <v>6021</v>
      </c>
      <c r="I40" s="1">
        <v>2748</v>
      </c>
      <c r="N40" s="1">
        <v>4000</v>
      </c>
      <c r="P40" s="1">
        <v>8257</v>
      </c>
      <c r="R40" s="1">
        <v>5534</v>
      </c>
      <c r="T40" s="1">
        <v>6687</v>
      </c>
      <c r="V40" s="1">
        <v>9217</v>
      </c>
      <c r="X40" s="1">
        <v>10728</v>
      </c>
      <c r="AF40" s="1">
        <v>7623</v>
      </c>
      <c r="AL40" s="1">
        <v>9977</v>
      </c>
      <c r="AO40" s="1">
        <v>9696</v>
      </c>
      <c r="AQ40" s="1">
        <v>22520</v>
      </c>
      <c r="AS40" s="1">
        <v>5431</v>
      </c>
      <c r="BA40" s="1">
        <v>6208</v>
      </c>
      <c r="BC40" s="1">
        <v>14647</v>
      </c>
      <c r="BI40" s="1">
        <v>3221</v>
      </c>
      <c r="BK40" s="1">
        <v>2607</v>
      </c>
      <c r="BU40" s="1">
        <v>6415</v>
      </c>
      <c r="BW40" s="1">
        <v>2285</v>
      </c>
      <c r="CC40" s="1">
        <v>3846</v>
      </c>
      <c r="CE40" s="1">
        <v>13918</v>
      </c>
      <c r="CH40" s="1">
        <v>23178</v>
      </c>
      <c r="CL40" s="20">
        <v>7664</v>
      </c>
      <c r="CM40" s="20"/>
      <c r="DI40" s="1">
        <v>10216</v>
      </c>
      <c r="DK40" s="20"/>
      <c r="DL40" s="20"/>
      <c r="DM40" s="20"/>
      <c r="DN40" s="20"/>
      <c r="DP40" s="20"/>
      <c r="DQ40" s="20"/>
      <c r="DR40" s="20"/>
      <c r="DS40" s="20"/>
      <c r="DU40" s="20"/>
      <c r="DV40" s="20"/>
    </row>
    <row r="41" spans="1:126">
      <c r="A41" s="1" t="s">
        <v>104</v>
      </c>
      <c r="B41" s="4">
        <v>5559</v>
      </c>
      <c r="D41" s="4">
        <v>1393</v>
      </c>
      <c r="F41" s="4"/>
      <c r="I41" s="4"/>
      <c r="K41" s="4">
        <v>101</v>
      </c>
      <c r="N41" s="4"/>
      <c r="P41" s="4">
        <v>14</v>
      </c>
      <c r="R41" s="4">
        <v>1</v>
      </c>
      <c r="T41" s="4">
        <v>759</v>
      </c>
      <c r="V41" s="4"/>
      <c r="X41" s="4"/>
      <c r="AA41" s="4">
        <v>6639</v>
      </c>
      <c r="AC41" s="4">
        <v>8721</v>
      </c>
      <c r="AF41" s="4"/>
      <c r="AH41" s="4">
        <v>13697</v>
      </c>
      <c r="AJ41" s="4">
        <v>8795</v>
      </c>
      <c r="AL41" s="4">
        <v>4882</v>
      </c>
      <c r="AO41" s="4"/>
      <c r="AQ41" s="4"/>
      <c r="AS41" s="4">
        <v>2296</v>
      </c>
      <c r="AU41" s="4">
        <v>83700</v>
      </c>
      <c r="AW41" s="4">
        <v>83700</v>
      </c>
      <c r="AY41" s="4">
        <v>83700</v>
      </c>
      <c r="BA41" s="4"/>
      <c r="BC41" s="4">
        <v>2359</v>
      </c>
      <c r="BF41" s="4">
        <v>3463</v>
      </c>
      <c r="BI41" s="4"/>
      <c r="BK41" s="4"/>
      <c r="BN41" s="4">
        <v>2464</v>
      </c>
      <c r="BP41" s="4">
        <v>17935</v>
      </c>
      <c r="BR41" s="4">
        <v>1888</v>
      </c>
      <c r="BU41" s="4">
        <v>282</v>
      </c>
      <c r="BW41" s="4">
        <v>92</v>
      </c>
      <c r="BZ41" s="4">
        <v>2419</v>
      </c>
      <c r="CC41" s="4"/>
      <c r="CE41" s="4"/>
      <c r="CH41" s="4"/>
      <c r="CJ41" s="4">
        <v>37377</v>
      </c>
      <c r="CL41" s="22"/>
      <c r="CM41" s="20"/>
      <c r="CN41" s="4"/>
      <c r="CP41" s="4"/>
      <c r="CR41" s="4">
        <v>548243</v>
      </c>
      <c r="CT41" s="4">
        <v>548243</v>
      </c>
      <c r="CV41" s="4">
        <v>548243</v>
      </c>
      <c r="CX41" s="4">
        <v>548243</v>
      </c>
      <c r="CZ41" s="4">
        <v>548243</v>
      </c>
      <c r="DB41" s="4">
        <v>548243</v>
      </c>
      <c r="DD41" s="4">
        <v>548243</v>
      </c>
      <c r="DF41" s="4">
        <v>548243</v>
      </c>
      <c r="DI41" s="4">
        <v>952</v>
      </c>
      <c r="DK41" s="22">
        <v>37377</v>
      </c>
      <c r="DL41" s="20"/>
      <c r="DM41" s="22">
        <v>37377</v>
      </c>
      <c r="DN41" s="20"/>
      <c r="DP41" s="22">
        <v>37377</v>
      </c>
      <c r="DQ41" s="20"/>
      <c r="DR41" s="22">
        <v>37377</v>
      </c>
      <c r="DS41" s="20"/>
      <c r="DU41" s="22">
        <v>37377</v>
      </c>
      <c r="DV41" s="20"/>
    </row>
    <row r="42" spans="1:126">
      <c r="B42" s="1">
        <f>SUM(B35:B41)</f>
        <v>18146</v>
      </c>
      <c r="D42" s="1">
        <f>SUM(D35:D41)</f>
        <v>46937</v>
      </c>
      <c r="F42" s="1">
        <f>SUM(F35:F41)</f>
        <v>26425</v>
      </c>
      <c r="I42" s="1">
        <f>SUM(I35:I41)</f>
        <v>7352</v>
      </c>
      <c r="K42" s="1">
        <f>SUM(K35:K41)</f>
        <v>414</v>
      </c>
      <c r="N42" s="1">
        <f>SUM(N35:N41)</f>
        <v>29164</v>
      </c>
      <c r="P42" s="1">
        <f>SUM(P35:P41)</f>
        <v>23926</v>
      </c>
      <c r="R42" s="1">
        <f>SUM(R35:R41)</f>
        <v>15227</v>
      </c>
      <c r="T42" s="1">
        <f>SUM(T35:T41)</f>
        <v>30542</v>
      </c>
      <c r="V42" s="1">
        <f>SUM(V35:V41)</f>
        <v>20335</v>
      </c>
      <c r="X42" s="1">
        <f>SUM(X35:X41)</f>
        <v>42058</v>
      </c>
      <c r="AA42" s="1">
        <f>SUM(AA35:AA41)</f>
        <v>20068</v>
      </c>
      <c r="AC42" s="1">
        <f>SUM(AC35:AC41)</f>
        <v>28789</v>
      </c>
      <c r="AF42" s="1">
        <f>SUM(AF35:AF41)</f>
        <v>23287</v>
      </c>
      <c r="AH42" s="1">
        <f>SUM(AH35:AH41)</f>
        <v>25596</v>
      </c>
      <c r="AJ42" s="1">
        <f>SUM(AJ35:AJ41)</f>
        <v>20025</v>
      </c>
      <c r="AL42" s="1">
        <f>SUM(AL35:AL41)</f>
        <v>29265</v>
      </c>
      <c r="AO42" s="1">
        <f>SUM(AO35:AO41)</f>
        <v>103343</v>
      </c>
      <c r="AQ42" s="1">
        <f>SUM(AQ35:AQ41)</f>
        <v>96840</v>
      </c>
      <c r="AS42" s="1">
        <f>SUM(AS35:AS41)</f>
        <v>52757</v>
      </c>
      <c r="AU42" s="1">
        <f>SUM(AU35:AU41)</f>
        <v>183000</v>
      </c>
      <c r="AW42" s="1">
        <f>SUM(AW35:AW41)</f>
        <v>183000</v>
      </c>
      <c r="AY42" s="1">
        <f>SUM(AY35:AY41)</f>
        <v>183000</v>
      </c>
      <c r="BA42" s="1">
        <f>SUM(BA35:BA41)</f>
        <v>14130</v>
      </c>
      <c r="BC42" s="1">
        <f>SUM(BC35:BC41)</f>
        <v>61347</v>
      </c>
      <c r="BF42" s="1">
        <f>SUM(BF35:BF41)</f>
        <v>5026</v>
      </c>
      <c r="BI42" s="1">
        <f>SUM(BI35:BI41)</f>
        <v>16082</v>
      </c>
      <c r="BK42" s="1">
        <f>SUM(BK35:BK41)</f>
        <v>9354</v>
      </c>
      <c r="BN42" s="1">
        <f>SUM(BN35:BN41)</f>
        <v>5706</v>
      </c>
      <c r="BP42" s="1">
        <f>SUM(BP35:BP41)</f>
        <v>20630</v>
      </c>
      <c r="BR42" s="1">
        <f>SUM(BR35:BR41)</f>
        <v>8594</v>
      </c>
      <c r="BU42" s="1">
        <f>SUM(BU35:BU41)</f>
        <v>30066</v>
      </c>
      <c r="BW42" s="1">
        <f>SUM(BW35:BW41)</f>
        <v>12122</v>
      </c>
      <c r="BZ42" s="1">
        <f>SUM(BZ35:BZ41)</f>
        <v>9186</v>
      </c>
      <c r="CC42" s="1">
        <f>SUM(CC35:CC41)</f>
        <v>6765</v>
      </c>
      <c r="CE42" s="1">
        <f>SUM(CE35:CE41)</f>
        <v>39188</v>
      </c>
      <c r="CH42" s="1">
        <f>SUM(CH35:CH41)</f>
        <v>122192</v>
      </c>
      <c r="CJ42" s="1">
        <f>SUM(CJ35:CJ41)</f>
        <v>113062</v>
      </c>
      <c r="CL42" s="1">
        <f>SUM(CL35:CL41)</f>
        <v>52174</v>
      </c>
      <c r="CM42" s="20"/>
      <c r="CN42" s="1">
        <f>701076+167143+70686+67833+93418</f>
        <v>1100156</v>
      </c>
      <c r="CP42" s="1">
        <f>1268491+190036+107199+58540+56052</f>
        <v>1680318</v>
      </c>
      <c r="CR42" s="1">
        <f>SUM(CR35:CR41)</f>
        <v>548243</v>
      </c>
      <c r="CT42" s="1">
        <f>SUM(CT35:CT41)</f>
        <v>548243</v>
      </c>
      <c r="CV42" s="1">
        <f>SUM(CV35:CV41)</f>
        <v>548243</v>
      </c>
      <c r="CX42" s="1">
        <f>SUM(CX35:CX41)</f>
        <v>548243</v>
      </c>
      <c r="CZ42" s="1">
        <f>SUM(CZ35:CZ41)</f>
        <v>548243</v>
      </c>
      <c r="DB42" s="1">
        <f>SUM(DB35:DB41)</f>
        <v>548243</v>
      </c>
      <c r="DD42" s="1">
        <f>SUM(DD35:DD41)</f>
        <v>548243</v>
      </c>
      <c r="DF42" s="1">
        <f>SUM(DF35:DF41)</f>
        <v>548243</v>
      </c>
      <c r="DI42" s="1">
        <f>SUM(DI35:DI41)</f>
        <v>22282</v>
      </c>
      <c r="DK42" s="20">
        <v>113062</v>
      </c>
      <c r="DL42" s="20"/>
      <c r="DM42" s="20">
        <v>113062</v>
      </c>
      <c r="DN42" s="20"/>
      <c r="DP42" s="20">
        <v>113062</v>
      </c>
      <c r="DQ42" s="20"/>
      <c r="DR42" s="20">
        <v>113062</v>
      </c>
      <c r="DS42" s="20"/>
      <c r="DU42" s="20">
        <v>113062</v>
      </c>
      <c r="DV42" s="20"/>
    </row>
    <row r="43" spans="1:126">
      <c r="A43" s="7" t="s">
        <v>20</v>
      </c>
      <c r="B43" s="8">
        <f>B42+B33</f>
        <v>31612</v>
      </c>
      <c r="D43" s="8">
        <f>D42+D33</f>
        <v>101936</v>
      </c>
      <c r="F43" s="8">
        <f>F42+F33</f>
        <v>48064</v>
      </c>
      <c r="I43" s="8">
        <f>I42+I33</f>
        <v>27094</v>
      </c>
      <c r="K43" s="8">
        <f>K42+K33</f>
        <v>2190</v>
      </c>
      <c r="N43" s="8">
        <f>N42+N33</f>
        <v>62167</v>
      </c>
      <c r="P43" s="8">
        <f>P42+P33</f>
        <v>96065</v>
      </c>
      <c r="R43" s="8">
        <f>R42+R33</f>
        <v>42086</v>
      </c>
      <c r="T43" s="8">
        <f>T42+T33</f>
        <v>126254</v>
      </c>
      <c r="V43" s="8">
        <f>V42+V33</f>
        <v>55899</v>
      </c>
      <c r="X43" s="8">
        <f>X42+X33</f>
        <v>70337</v>
      </c>
      <c r="AA43" s="8">
        <f>AA42+AA33</f>
        <v>52765</v>
      </c>
      <c r="AC43" s="8">
        <f>AC42+AC33</f>
        <v>64327</v>
      </c>
      <c r="AF43" s="8">
        <f>AF42+AF33</f>
        <v>142698</v>
      </c>
      <c r="AH43" s="8">
        <f>AH42+AH33</f>
        <v>129773</v>
      </c>
      <c r="AJ43" s="8">
        <f>AJ42+AJ33</f>
        <v>139576</v>
      </c>
      <c r="AL43" s="8">
        <f>AL42+AL33</f>
        <v>118862</v>
      </c>
      <c r="AO43" s="8">
        <f>AO42+AO33</f>
        <v>357512</v>
      </c>
      <c r="AQ43" s="8">
        <f>AQ42+AQ33</f>
        <v>305690</v>
      </c>
      <c r="AS43" s="8">
        <f>AS42+AS33</f>
        <v>138251</v>
      </c>
      <c r="AU43" s="8">
        <f>AU42+AU33</f>
        <v>784400</v>
      </c>
      <c r="AW43" s="8">
        <f>AW42+AW33</f>
        <v>784400</v>
      </c>
      <c r="AY43" s="8">
        <f>AY42+AY33</f>
        <v>784400</v>
      </c>
      <c r="BA43" s="8">
        <f>BA42+BA33</f>
        <v>65974</v>
      </c>
      <c r="BC43" s="8">
        <f>BC42+BC33</f>
        <v>173491</v>
      </c>
      <c r="BF43" s="8">
        <f>BF42+BF33</f>
        <v>19837</v>
      </c>
      <c r="BI43" s="8">
        <f>BI42+BI33</f>
        <v>55674</v>
      </c>
      <c r="BK43" s="8">
        <f>BK42+BK33</f>
        <v>31298</v>
      </c>
      <c r="BN43" s="8">
        <f>BN42+BN33</f>
        <v>56294</v>
      </c>
      <c r="BP43" s="8">
        <f>BP42+BP33</f>
        <v>122621</v>
      </c>
      <c r="BR43" s="8">
        <f>BR42+BR33</f>
        <v>25077</v>
      </c>
      <c r="BU43" s="8">
        <f>BU42+BU33</f>
        <v>120442</v>
      </c>
      <c r="BW43" s="8">
        <f>BW42+BW33</f>
        <v>45513</v>
      </c>
      <c r="BZ43" s="8">
        <f>BZ42+BZ33</f>
        <v>27327</v>
      </c>
      <c r="CC43" s="8">
        <f>CC42+CC33</f>
        <v>13756</v>
      </c>
      <c r="CE43" s="8">
        <f>CE42+CE33</f>
        <v>65676</v>
      </c>
      <c r="CH43" s="8">
        <f>CH42+CH33</f>
        <v>324333</v>
      </c>
      <c r="CJ43" s="8">
        <f>CJ42+CJ33</f>
        <v>303644</v>
      </c>
      <c r="CL43" s="8">
        <f>CL42+CL33</f>
        <v>138368</v>
      </c>
      <c r="CM43" s="20"/>
      <c r="CN43" s="8">
        <f>CN42+CN33</f>
        <v>1800140</v>
      </c>
      <c r="CP43" s="8">
        <f>CP42+CP33</f>
        <v>2671318</v>
      </c>
      <c r="CR43" s="8">
        <f>CR42+CR33</f>
        <v>1269628</v>
      </c>
      <c r="CT43" s="8">
        <f>CT42+CT33</f>
        <v>1269628</v>
      </c>
      <c r="CV43" s="8">
        <f>CV42+CV33</f>
        <v>1269628</v>
      </c>
      <c r="CX43" s="8">
        <f>CX42+CX33</f>
        <v>1269628</v>
      </c>
      <c r="CZ43" s="8">
        <f>CZ42+CZ33</f>
        <v>1269628</v>
      </c>
      <c r="DB43" s="8">
        <f>DB42+DB33</f>
        <v>1269628</v>
      </c>
      <c r="DD43" s="8">
        <f>DD42+DD33</f>
        <v>1269628</v>
      </c>
      <c r="DF43" s="8">
        <f>DF42+DF33</f>
        <v>1269628</v>
      </c>
      <c r="DI43" s="8">
        <f>DI42+DI33</f>
        <v>111025</v>
      </c>
      <c r="DK43" s="25">
        <v>303644</v>
      </c>
      <c r="DL43" s="20"/>
      <c r="DM43" s="25">
        <v>303644</v>
      </c>
      <c r="DN43" s="20"/>
      <c r="DP43" s="25">
        <v>303644</v>
      </c>
      <c r="DQ43" s="20"/>
      <c r="DR43" s="25">
        <v>303644</v>
      </c>
      <c r="DS43" s="20"/>
      <c r="DU43" s="25">
        <v>303644</v>
      </c>
      <c r="DV43" s="20"/>
    </row>
    <row r="44" spans="1:126">
      <c r="CL44" s="20"/>
      <c r="CM44" s="20"/>
      <c r="DK44" s="20"/>
      <c r="DL44" s="20"/>
      <c r="DM44" s="20"/>
      <c r="DN44" s="20"/>
      <c r="DP44" s="20"/>
      <c r="DQ44" s="20"/>
      <c r="DR44" s="20"/>
      <c r="DS44" s="20"/>
      <c r="DU44" s="20"/>
      <c r="DV44" s="20"/>
    </row>
    <row r="45" spans="1:126">
      <c r="A45" s="7" t="s">
        <v>27</v>
      </c>
      <c r="CL45" s="20"/>
      <c r="CM45" s="20"/>
      <c r="DK45" s="20"/>
      <c r="DL45" s="20"/>
      <c r="DM45" s="20"/>
      <c r="DN45" s="20"/>
      <c r="DP45" s="20"/>
      <c r="DQ45" s="20"/>
      <c r="DR45" s="20"/>
      <c r="DS45" s="20"/>
      <c r="DU45" s="20"/>
      <c r="DV45" s="20"/>
    </row>
    <row r="46" spans="1:126">
      <c r="A46" s="1" t="s">
        <v>17</v>
      </c>
      <c r="B46" s="1">
        <v>325</v>
      </c>
      <c r="D46" s="1">
        <v>1944</v>
      </c>
      <c r="F46" s="1">
        <v>453</v>
      </c>
      <c r="K46" s="1">
        <v>21</v>
      </c>
      <c r="N46" s="1">
        <v>2220</v>
      </c>
      <c r="P46" s="1">
        <v>4176</v>
      </c>
      <c r="R46" s="1">
        <v>2789</v>
      </c>
      <c r="T46" s="1">
        <v>6776</v>
      </c>
      <c r="V46" s="1">
        <v>1788</v>
      </c>
      <c r="X46" s="1">
        <v>215</v>
      </c>
      <c r="AA46" s="1">
        <v>3684</v>
      </c>
      <c r="AC46" s="1">
        <v>4242</v>
      </c>
      <c r="AF46" s="1">
        <v>12289</v>
      </c>
      <c r="AH46" s="1">
        <v>10245</v>
      </c>
      <c r="AJ46" s="1">
        <v>6258</v>
      </c>
      <c r="AL46" s="1">
        <v>9527</v>
      </c>
      <c r="AO46" s="46">
        <v>8344</v>
      </c>
      <c r="AQ46" s="1">
        <v>7381</v>
      </c>
      <c r="AS46" s="1">
        <v>4685</v>
      </c>
      <c r="AU46" s="1">
        <v>18400</v>
      </c>
      <c r="AW46" s="1">
        <v>18400</v>
      </c>
      <c r="AY46" s="1">
        <v>18400</v>
      </c>
      <c r="BA46" s="1">
        <v>475</v>
      </c>
      <c r="BC46" s="1">
        <v>8116</v>
      </c>
      <c r="BF46" s="1">
        <v>670</v>
      </c>
      <c r="BI46" s="1">
        <v>4688</v>
      </c>
      <c r="BK46" s="1">
        <v>299</v>
      </c>
      <c r="BN46" s="1">
        <v>2469</v>
      </c>
      <c r="BP46" s="1">
        <v>5390</v>
      </c>
      <c r="BR46" s="1">
        <v>1980</v>
      </c>
      <c r="BU46" s="1">
        <v>11380</v>
      </c>
      <c r="BW46" s="1">
        <v>4010</v>
      </c>
      <c r="BZ46" s="1">
        <v>1636</v>
      </c>
      <c r="CC46" s="1">
        <v>3</v>
      </c>
      <c r="CH46" s="1">
        <v>59987</v>
      </c>
      <c r="CJ46" s="1">
        <v>54060</v>
      </c>
      <c r="CL46" s="20">
        <v>30854</v>
      </c>
      <c r="CM46" s="20"/>
      <c r="DI46" s="1">
        <v>3926</v>
      </c>
      <c r="DK46" s="20">
        <v>54060</v>
      </c>
      <c r="DL46" s="20"/>
      <c r="DM46" s="20">
        <v>54060</v>
      </c>
      <c r="DN46" s="20"/>
      <c r="DP46" s="20">
        <v>54060</v>
      </c>
      <c r="DQ46" s="20"/>
      <c r="DR46" s="20">
        <v>54060</v>
      </c>
      <c r="DS46" s="20"/>
      <c r="DU46" s="20">
        <v>54060</v>
      </c>
      <c r="DV46" s="20"/>
    </row>
    <row r="47" spans="1:126">
      <c r="A47" s="1" t="s">
        <v>16</v>
      </c>
      <c r="B47" s="1">
        <v>4041</v>
      </c>
      <c r="D47" s="1">
        <v>7599</v>
      </c>
      <c r="F47" s="1">
        <v>5112</v>
      </c>
      <c r="I47" s="1">
        <v>850</v>
      </c>
      <c r="K47" s="1">
        <v>287</v>
      </c>
      <c r="N47" s="1">
        <v>2162</v>
      </c>
      <c r="P47" s="1">
        <v>3003</v>
      </c>
      <c r="R47" s="1">
        <v>8317</v>
      </c>
      <c r="T47" s="1">
        <v>6148</v>
      </c>
      <c r="V47" s="1">
        <v>10362</v>
      </c>
      <c r="X47" s="1">
        <v>4092</v>
      </c>
      <c r="AA47" s="1">
        <v>3779</v>
      </c>
      <c r="AC47" s="1">
        <v>4696</v>
      </c>
      <c r="AF47" s="1">
        <v>16198</v>
      </c>
      <c r="AH47" s="1">
        <v>17089</v>
      </c>
      <c r="AJ47" s="1">
        <v>15236</v>
      </c>
      <c r="AL47" s="1">
        <v>15221</v>
      </c>
      <c r="AO47" s="46">
        <v>70112</v>
      </c>
      <c r="AQ47" s="1">
        <v>47159</v>
      </c>
      <c r="AS47" s="1">
        <v>23701</v>
      </c>
      <c r="AU47" s="1">
        <v>81800</v>
      </c>
      <c r="AW47" s="1">
        <v>81800</v>
      </c>
      <c r="AY47" s="1">
        <v>81800</v>
      </c>
      <c r="BA47" s="1">
        <v>5631</v>
      </c>
      <c r="BC47" s="1">
        <v>21958</v>
      </c>
      <c r="BF47" s="1">
        <v>6013</v>
      </c>
      <c r="BI47" s="1">
        <v>3308</v>
      </c>
      <c r="BK47" s="1">
        <v>3346</v>
      </c>
      <c r="BN47" s="1">
        <v>4004</v>
      </c>
      <c r="BP47" s="1">
        <v>14295</v>
      </c>
      <c r="BR47" s="1">
        <v>3230</v>
      </c>
      <c r="BU47" s="1">
        <v>16072</v>
      </c>
      <c r="BW47" s="1">
        <v>11735</v>
      </c>
      <c r="BZ47" s="1">
        <v>5827</v>
      </c>
      <c r="CC47" s="1">
        <v>3332</v>
      </c>
      <c r="CE47" s="1">
        <v>4870</v>
      </c>
      <c r="CH47" s="1">
        <v>18024</v>
      </c>
      <c r="CJ47" s="1">
        <v>17268</v>
      </c>
      <c r="CL47" s="20">
        <v>7475</v>
      </c>
      <c r="CM47" s="20"/>
      <c r="DI47" s="1">
        <v>8400</v>
      </c>
      <c r="DK47" s="20">
        <v>17268</v>
      </c>
      <c r="DL47" s="20"/>
      <c r="DM47" s="20">
        <v>17268</v>
      </c>
      <c r="DN47" s="20"/>
      <c r="DP47" s="20">
        <v>17268</v>
      </c>
      <c r="DQ47" s="20"/>
      <c r="DR47" s="20">
        <v>17268</v>
      </c>
      <c r="DS47" s="20"/>
      <c r="DU47" s="20">
        <v>17268</v>
      </c>
      <c r="DV47" s="20"/>
    </row>
    <row r="48" spans="1:126">
      <c r="A48" s="1" t="s">
        <v>136</v>
      </c>
      <c r="D48" s="1">
        <v>1515</v>
      </c>
      <c r="F48" s="1">
        <f>1714+1726</f>
        <v>3440</v>
      </c>
      <c r="I48" s="1">
        <v>748</v>
      </c>
      <c r="R48" s="1">
        <v>127</v>
      </c>
      <c r="V48" s="1">
        <v>2</v>
      </c>
      <c r="AO48" s="46"/>
      <c r="AQ48" s="1">
        <f>2322</f>
        <v>2322</v>
      </c>
      <c r="BC48" s="1">
        <v>276</v>
      </c>
      <c r="CC48" s="1">
        <v>38</v>
      </c>
      <c r="CH48" s="1">
        <f>3638+4526</f>
        <v>8164</v>
      </c>
      <c r="CL48" s="20"/>
      <c r="CM48" s="20"/>
      <c r="DK48" s="20"/>
      <c r="DL48" s="20"/>
      <c r="DM48" s="20"/>
      <c r="DN48" s="20"/>
      <c r="DP48" s="20"/>
      <c r="DQ48" s="20"/>
      <c r="DR48" s="20"/>
      <c r="DS48" s="20"/>
      <c r="DU48" s="20"/>
      <c r="DV48" s="20"/>
    </row>
    <row r="49" spans="1:126">
      <c r="A49" s="1" t="s">
        <v>135</v>
      </c>
      <c r="D49" s="1">
        <v>2151</v>
      </c>
      <c r="I49" s="1">
        <v>433</v>
      </c>
      <c r="N49" s="1">
        <v>1805</v>
      </c>
      <c r="R49" s="1">
        <v>1452</v>
      </c>
      <c r="T49" s="1">
        <v>2459</v>
      </c>
      <c r="V49" s="1">
        <v>3076</v>
      </c>
      <c r="X49" s="1">
        <v>2222</v>
      </c>
      <c r="AF49" s="1">
        <v>1919</v>
      </c>
      <c r="AL49" s="1">
        <v>2203</v>
      </c>
      <c r="AO49" s="46">
        <v>11173</v>
      </c>
      <c r="AQ49" s="1">
        <v>1945</v>
      </c>
      <c r="AS49" s="1">
        <v>755</v>
      </c>
      <c r="BA49" s="1">
        <v>1831</v>
      </c>
      <c r="BI49" s="1">
        <v>382</v>
      </c>
      <c r="BK49" s="1">
        <v>202</v>
      </c>
      <c r="BU49" s="1">
        <v>1276</v>
      </c>
      <c r="BW49" s="1">
        <v>1254</v>
      </c>
      <c r="CC49" s="1">
        <v>89</v>
      </c>
      <c r="CE49" s="1">
        <v>797</v>
      </c>
      <c r="CH49" s="1">
        <f>218+2869</f>
        <v>3087</v>
      </c>
      <c r="CL49" s="20">
        <v>1237</v>
      </c>
      <c r="CM49" s="20"/>
      <c r="DI49" s="1">
        <v>1126</v>
      </c>
      <c r="DK49" s="20"/>
      <c r="DL49" s="20"/>
      <c r="DM49" s="20"/>
      <c r="DN49" s="20"/>
      <c r="DP49" s="20"/>
      <c r="DQ49" s="20"/>
      <c r="DR49" s="20"/>
      <c r="DS49" s="20"/>
      <c r="DU49" s="20"/>
      <c r="DV49" s="20"/>
    </row>
    <row r="50" spans="1:126">
      <c r="A50" s="1" t="s">
        <v>21</v>
      </c>
      <c r="B50" s="1">
        <v>1309</v>
      </c>
      <c r="D50" s="1">
        <v>4485</v>
      </c>
      <c r="F50" s="1">
        <f>1362+1807</f>
        <v>3169</v>
      </c>
      <c r="I50" s="1">
        <v>645</v>
      </c>
      <c r="N50" s="1">
        <v>2148</v>
      </c>
      <c r="R50" s="1">
        <v>992</v>
      </c>
      <c r="V50" s="1">
        <v>823</v>
      </c>
      <c r="X50" s="1">
        <v>8310</v>
      </c>
      <c r="AA50" s="1">
        <v>4218</v>
      </c>
      <c r="AC50" s="1">
        <v>2687</v>
      </c>
      <c r="AF50" s="1">
        <v>818</v>
      </c>
      <c r="AH50" s="1">
        <v>1651</v>
      </c>
      <c r="AJ50" s="1">
        <v>633</v>
      </c>
      <c r="AL50" s="1">
        <v>1271</v>
      </c>
      <c r="AO50" s="46">
        <f>382+3247</f>
        <v>3629</v>
      </c>
      <c r="AQ50" s="1">
        <v>5045</v>
      </c>
      <c r="BF50" s="1">
        <v>803</v>
      </c>
      <c r="BI50" s="1">
        <v>322</v>
      </c>
      <c r="BK50" s="1">
        <v>557</v>
      </c>
      <c r="BN50" s="1">
        <v>558</v>
      </c>
      <c r="BP50" s="1">
        <v>180</v>
      </c>
      <c r="BR50" s="1">
        <v>109</v>
      </c>
      <c r="BU50" s="1">
        <v>523</v>
      </c>
      <c r="BW50" s="1">
        <v>379</v>
      </c>
      <c r="BZ50" s="1">
        <v>210</v>
      </c>
      <c r="CH50" s="1">
        <v>18360</v>
      </c>
      <c r="CJ50" s="1">
        <v>16689</v>
      </c>
      <c r="CL50" s="20">
        <v>3411</v>
      </c>
      <c r="CM50" s="20"/>
      <c r="DI50" s="1">
        <v>1738</v>
      </c>
      <c r="DK50" s="20">
        <v>16689</v>
      </c>
      <c r="DL50" s="20"/>
      <c r="DM50" s="20">
        <v>16689</v>
      </c>
      <c r="DN50" s="20"/>
      <c r="DP50" s="20">
        <v>16689</v>
      </c>
      <c r="DQ50" s="20"/>
      <c r="DR50" s="20">
        <v>16689</v>
      </c>
      <c r="DS50" s="20"/>
      <c r="DU50" s="20">
        <v>16689</v>
      </c>
      <c r="DV50" s="20"/>
    </row>
    <row r="51" spans="1:126">
      <c r="A51" s="1" t="s">
        <v>18</v>
      </c>
      <c r="D51" s="1">
        <v>19701</v>
      </c>
      <c r="F51" s="1">
        <f>4242+259</f>
        <v>4501</v>
      </c>
      <c r="I51" s="1">
        <f>2263+1408</f>
        <v>3671</v>
      </c>
      <c r="N51" s="1">
        <v>7425</v>
      </c>
      <c r="P51" s="1">
        <f>6754+24</f>
        <v>6778</v>
      </c>
      <c r="T51" s="1">
        <v>10935</v>
      </c>
      <c r="X51" s="1">
        <v>9386</v>
      </c>
      <c r="AO51" s="44"/>
      <c r="AQ51" s="1">
        <v>8960</v>
      </c>
      <c r="AS51" s="1">
        <v>3728</v>
      </c>
      <c r="BA51" s="1">
        <v>297</v>
      </c>
      <c r="BC51" s="1">
        <f>13821</f>
        <v>13821</v>
      </c>
      <c r="BI51" s="1">
        <v>3000</v>
      </c>
      <c r="BK51" s="1">
        <v>2190</v>
      </c>
      <c r="BU51" s="1">
        <f>3185+381</f>
        <v>3566</v>
      </c>
      <c r="CE51" s="1">
        <f>3360+8370</f>
        <v>11730</v>
      </c>
      <c r="CH51" s="1">
        <v>11004</v>
      </c>
      <c r="CL51" s="20">
        <f>7066</f>
        <v>7066</v>
      </c>
      <c r="CM51" s="20"/>
      <c r="DK51" s="20"/>
      <c r="DL51" s="20"/>
      <c r="DM51" s="20"/>
      <c r="DN51" s="20"/>
      <c r="DP51" s="20"/>
      <c r="DQ51" s="20"/>
      <c r="DR51" s="20"/>
      <c r="DS51" s="20"/>
      <c r="DU51" s="20"/>
      <c r="DV51" s="20"/>
    </row>
    <row r="52" spans="1:126">
      <c r="A52" s="1" t="s">
        <v>105</v>
      </c>
      <c r="B52" s="4">
        <v>3688</v>
      </c>
      <c r="D52" s="4">
        <v>473</v>
      </c>
      <c r="F52" s="4"/>
      <c r="I52" s="4"/>
      <c r="K52" s="4">
        <v>481</v>
      </c>
      <c r="N52" s="4">
        <v>0</v>
      </c>
      <c r="P52" s="4"/>
      <c r="R52" s="4"/>
      <c r="T52" s="4">
        <v>50</v>
      </c>
      <c r="V52" s="4"/>
      <c r="X52" s="4"/>
      <c r="AA52" s="4">
        <v>1709</v>
      </c>
      <c r="AC52" s="4">
        <v>5707</v>
      </c>
      <c r="AF52" s="4"/>
      <c r="AH52" s="4">
        <v>2526</v>
      </c>
      <c r="AJ52" s="4">
        <v>1898</v>
      </c>
      <c r="AL52" s="4">
        <v>922</v>
      </c>
      <c r="AO52" s="45"/>
      <c r="AQ52" s="4"/>
      <c r="AS52" s="4">
        <v>140</v>
      </c>
      <c r="AU52" s="4">
        <v>63300</v>
      </c>
      <c r="AW52" s="4">
        <v>63300</v>
      </c>
      <c r="AY52" s="4">
        <v>63300</v>
      </c>
      <c r="BA52" s="4"/>
      <c r="BC52" s="4">
        <v>626</v>
      </c>
      <c r="BF52" s="4">
        <v>78</v>
      </c>
      <c r="BI52" s="4"/>
      <c r="BK52" s="4"/>
      <c r="BN52" s="4">
        <v>1495</v>
      </c>
      <c r="BP52" s="4">
        <v>543</v>
      </c>
      <c r="BR52" s="4">
        <v>225</v>
      </c>
      <c r="BU52" s="4">
        <v>100</v>
      </c>
      <c r="BW52" s="4">
        <v>4</v>
      </c>
      <c r="BZ52" s="4">
        <v>469</v>
      </c>
      <c r="CC52" s="4"/>
      <c r="CE52" s="4"/>
      <c r="CH52" s="4"/>
      <c r="CJ52" s="4">
        <v>17496</v>
      </c>
      <c r="CL52" s="22"/>
      <c r="CM52" s="20"/>
      <c r="CN52" s="4"/>
      <c r="CP52" s="4"/>
      <c r="CR52" s="4">
        <v>872170</v>
      </c>
      <c r="CT52" s="4">
        <v>872170</v>
      </c>
      <c r="CV52" s="4">
        <v>872170</v>
      </c>
      <c r="CX52" s="4">
        <v>872170</v>
      </c>
      <c r="CZ52" s="4">
        <v>872170</v>
      </c>
      <c r="DB52" s="4">
        <v>872170</v>
      </c>
      <c r="DD52" s="4">
        <v>872170</v>
      </c>
      <c r="DF52" s="4">
        <v>872170</v>
      </c>
      <c r="DI52" s="4">
        <v>181</v>
      </c>
      <c r="DK52" s="22">
        <v>17496</v>
      </c>
      <c r="DL52" s="20"/>
      <c r="DM52" s="22">
        <v>17496</v>
      </c>
      <c r="DN52" s="20"/>
      <c r="DP52" s="22">
        <v>17496</v>
      </c>
      <c r="DQ52" s="20"/>
      <c r="DR52" s="22">
        <v>17496</v>
      </c>
      <c r="DS52" s="20"/>
      <c r="DU52" s="22">
        <v>17496</v>
      </c>
      <c r="DV52" s="20"/>
    </row>
    <row r="53" spans="1:126">
      <c r="B53" s="1">
        <f>SUM(B47:B52)</f>
        <v>9038</v>
      </c>
      <c r="D53" s="1">
        <f>SUM(D46:D52)</f>
        <v>37868</v>
      </c>
      <c r="F53" s="1">
        <f>SUM(F46:F52)</f>
        <v>16675</v>
      </c>
      <c r="I53" s="1">
        <f>SUM(I46:I52)</f>
        <v>6347</v>
      </c>
      <c r="K53" s="1">
        <f>SUM(K47:K52)</f>
        <v>768</v>
      </c>
      <c r="N53" s="1">
        <f>SUM(N46:N52)</f>
        <v>15760</v>
      </c>
      <c r="P53" s="1">
        <f>SUM(P46:P52)</f>
        <v>13957</v>
      </c>
      <c r="R53" s="1">
        <f>SUM(R46:R52)</f>
        <v>13677</v>
      </c>
      <c r="T53" s="1">
        <f>SUM(T46:T52)</f>
        <v>26368</v>
      </c>
      <c r="V53" s="1">
        <f>SUM(V46:V52)</f>
        <v>16051</v>
      </c>
      <c r="X53" s="1">
        <f>SUM(X46:X52)</f>
        <v>24225</v>
      </c>
      <c r="AA53" s="1">
        <f>SUM(AA46:AA52)</f>
        <v>13390</v>
      </c>
      <c r="AC53" s="1">
        <f>SUM(AC46:AC52)</f>
        <v>17332</v>
      </c>
      <c r="AF53" s="1">
        <f>SUM(AF46:AF52)</f>
        <v>31224</v>
      </c>
      <c r="AH53" s="1">
        <f>SUM(AH47:AH52)</f>
        <v>21266</v>
      </c>
      <c r="AJ53" s="1">
        <f>SUM(AJ46:AJ52)</f>
        <v>24025</v>
      </c>
      <c r="AL53" s="1">
        <f>SUM(AL46:AL52)</f>
        <v>29144</v>
      </c>
      <c r="AO53" s="1">
        <f>SUM(AO46:AO52)</f>
        <v>93258</v>
      </c>
      <c r="AQ53" s="1">
        <f>SUM(AQ46:AQ52)</f>
        <v>72812</v>
      </c>
      <c r="AS53" s="1">
        <f>SUM(AS46:AS52)</f>
        <v>33009</v>
      </c>
      <c r="AU53" s="1">
        <f>SUM(AU46:AU52)</f>
        <v>163500</v>
      </c>
      <c r="AW53" s="1">
        <f>SUM(AW46:AW52)</f>
        <v>163500</v>
      </c>
      <c r="AY53" s="1">
        <f>SUM(AY46:AY52)</f>
        <v>163500</v>
      </c>
      <c r="BA53" s="1">
        <f>SUM(BA46:BA52)</f>
        <v>8234</v>
      </c>
      <c r="BC53" s="1">
        <f>SUM(BC46:BC52)</f>
        <v>44797</v>
      </c>
      <c r="BF53" s="1">
        <f>SUM(BF47:BF52)</f>
        <v>6894</v>
      </c>
      <c r="BI53" s="1">
        <f>SUM(BI46:BI52)</f>
        <v>11700</v>
      </c>
      <c r="BK53" s="1">
        <f>SUM(BK46:BK52)</f>
        <v>6594</v>
      </c>
      <c r="BN53" s="1">
        <f>SUM(BN46:BN52)</f>
        <v>8526</v>
      </c>
      <c r="BP53" s="1">
        <f>SUM(BP46:BP52)</f>
        <v>20408</v>
      </c>
      <c r="BR53" s="1">
        <f>SUM(BR46:BR52)</f>
        <v>5544</v>
      </c>
      <c r="BU53" s="1">
        <f>SUM(BU46:BU52)</f>
        <v>32917</v>
      </c>
      <c r="BW53" s="1">
        <f>SUM(BW46:BW52)</f>
        <v>17382</v>
      </c>
      <c r="BZ53" s="1">
        <f>SUM(BZ46:BZ52)</f>
        <v>8142</v>
      </c>
      <c r="CC53" s="1">
        <f>SUM(CC46:CC52)</f>
        <v>3462</v>
      </c>
      <c r="CE53" s="1">
        <f>SUM(CE46:CE52)</f>
        <v>17397</v>
      </c>
      <c r="CH53" s="1">
        <f>SUM(CH46:CH52)</f>
        <v>118626</v>
      </c>
      <c r="CJ53" s="1">
        <f>SUM(CJ46:CJ52)</f>
        <v>105513</v>
      </c>
      <c r="CL53" s="1">
        <f>SUM(CL46:CL52)</f>
        <v>50043</v>
      </c>
      <c r="CM53" s="20"/>
      <c r="CN53" s="1">
        <f>579895+372984+142986+99626+92197</f>
        <v>1287688</v>
      </c>
      <c r="CP53" s="1">
        <f>1956240+108050+60575+32333+33426</f>
        <v>2190624</v>
      </c>
      <c r="CR53" s="1">
        <f>SUM(CR46:CR52)</f>
        <v>872170</v>
      </c>
      <c r="CT53" s="1">
        <f>SUM(CT46:CT52)</f>
        <v>872170</v>
      </c>
      <c r="CV53" s="1">
        <f>SUM(CV46:CV52)</f>
        <v>872170</v>
      </c>
      <c r="CX53" s="1">
        <f>SUM(CX46:CX52)</f>
        <v>872170</v>
      </c>
      <c r="CZ53" s="1">
        <f>SUM(CZ46:CZ52)</f>
        <v>872170</v>
      </c>
      <c r="DB53" s="1">
        <f>SUM(DB46:DB52)</f>
        <v>872170</v>
      </c>
      <c r="DD53" s="1">
        <f>SUM(DD46:DD52)</f>
        <v>872170</v>
      </c>
      <c r="DF53" s="1">
        <f>SUM(DF46:DF52)</f>
        <v>872170</v>
      </c>
      <c r="DI53" s="1">
        <f>SUM(DI46:DI52)</f>
        <v>15371</v>
      </c>
      <c r="DK53" s="20">
        <v>105513</v>
      </c>
      <c r="DL53" s="20"/>
      <c r="DM53" s="20">
        <v>105513</v>
      </c>
      <c r="DN53" s="20"/>
      <c r="DP53" s="20">
        <v>105513</v>
      </c>
      <c r="DQ53" s="20"/>
      <c r="DR53" s="20">
        <v>105513</v>
      </c>
      <c r="DS53" s="20"/>
      <c r="DU53" s="20">
        <v>105513</v>
      </c>
      <c r="DV53" s="20"/>
    </row>
    <row r="54" spans="1:126">
      <c r="A54" s="7" t="s">
        <v>28</v>
      </c>
      <c r="CL54" s="20"/>
      <c r="CM54" s="20"/>
      <c r="DK54" s="20"/>
      <c r="DL54" s="20"/>
      <c r="DM54" s="20"/>
      <c r="DN54" s="20"/>
      <c r="DP54" s="20"/>
      <c r="DQ54" s="20"/>
      <c r="DR54" s="20"/>
      <c r="DS54" s="20"/>
      <c r="DU54" s="20"/>
      <c r="DV54" s="20"/>
    </row>
    <row r="55" spans="1:126">
      <c r="A55" s="1" t="s">
        <v>17</v>
      </c>
      <c r="B55" s="1">
        <v>4630</v>
      </c>
      <c r="D55" s="1">
        <v>18509</v>
      </c>
      <c r="F55" s="1">
        <v>7570</v>
      </c>
      <c r="I55" s="1">
        <v>3758</v>
      </c>
      <c r="K55" s="1">
        <v>440</v>
      </c>
      <c r="N55" s="1">
        <v>16423</v>
      </c>
      <c r="P55" s="1">
        <v>10414</v>
      </c>
      <c r="R55" s="1">
        <v>15456</v>
      </c>
      <c r="T55" s="1">
        <v>11242</v>
      </c>
      <c r="V55" s="1">
        <v>8588</v>
      </c>
      <c r="AA55" s="1">
        <v>7995</v>
      </c>
      <c r="AC55" s="1">
        <v>9113</v>
      </c>
      <c r="AF55" s="1">
        <v>29108</v>
      </c>
      <c r="AH55" s="1">
        <v>56608</v>
      </c>
      <c r="AJ55" s="1">
        <v>28362</v>
      </c>
      <c r="AL55" s="1">
        <v>51172</v>
      </c>
      <c r="AO55" s="1">
        <v>36218</v>
      </c>
      <c r="AQ55" s="1">
        <v>40811</v>
      </c>
      <c r="AS55" s="1">
        <v>20875</v>
      </c>
      <c r="AU55" s="1">
        <v>101000</v>
      </c>
      <c r="AW55" s="1">
        <v>101000</v>
      </c>
      <c r="AY55" s="1">
        <v>101000</v>
      </c>
      <c r="BA55" s="1">
        <v>17054</v>
      </c>
      <c r="BC55" s="1">
        <v>25069</v>
      </c>
      <c r="BF55" s="1">
        <v>4128</v>
      </c>
      <c r="BI55" s="1">
        <v>4159</v>
      </c>
      <c r="BK55" s="1">
        <v>94</v>
      </c>
      <c r="BN55" s="1">
        <v>16079</v>
      </c>
      <c r="BP55" s="1">
        <v>38951</v>
      </c>
      <c r="BR55" s="1">
        <v>8233</v>
      </c>
      <c r="BU55" s="1">
        <v>10363</v>
      </c>
      <c r="BW55" s="1">
        <v>7491</v>
      </c>
      <c r="BZ55" s="1">
        <v>9083</v>
      </c>
      <c r="CC55" s="1">
        <v>2</v>
      </c>
      <c r="CH55" s="1">
        <v>61517</v>
      </c>
      <c r="CJ55" s="1">
        <v>63603</v>
      </c>
      <c r="CL55" s="20">
        <v>39450</v>
      </c>
      <c r="CM55" s="20"/>
      <c r="CR55" s="1">
        <v>300260</v>
      </c>
      <c r="CT55" s="1">
        <v>300260</v>
      </c>
      <c r="CV55" s="1">
        <v>300260</v>
      </c>
      <c r="CX55" s="1">
        <v>300260</v>
      </c>
      <c r="CZ55" s="1">
        <v>300260</v>
      </c>
      <c r="DB55" s="1">
        <v>300260</v>
      </c>
      <c r="DD55" s="1">
        <v>300260</v>
      </c>
      <c r="DF55" s="1">
        <v>300260</v>
      </c>
      <c r="DI55" s="1">
        <v>24625</v>
      </c>
      <c r="DK55" s="20">
        <v>63603</v>
      </c>
      <c r="DL55" s="20"/>
      <c r="DM55" s="20">
        <v>63603</v>
      </c>
      <c r="DN55" s="20"/>
      <c r="DP55" s="20">
        <v>63603</v>
      </c>
      <c r="DQ55" s="20"/>
      <c r="DR55" s="20">
        <v>63603</v>
      </c>
      <c r="DS55" s="20"/>
      <c r="DU55" s="20">
        <v>63603</v>
      </c>
      <c r="DV55" s="20"/>
    </row>
    <row r="56" spans="1:126">
      <c r="A56" s="1" t="s">
        <v>21</v>
      </c>
      <c r="B56" s="1">
        <v>680</v>
      </c>
      <c r="D56" s="1">
        <v>3907</v>
      </c>
      <c r="I56" s="1">
        <v>277</v>
      </c>
      <c r="N56" s="1">
        <v>1097</v>
      </c>
      <c r="P56" s="1">
        <v>8735</v>
      </c>
      <c r="R56" s="1">
        <v>552</v>
      </c>
      <c r="T56" s="1">
        <v>7268</v>
      </c>
      <c r="V56" s="1">
        <v>566</v>
      </c>
      <c r="X56" s="1">
        <v>2183</v>
      </c>
      <c r="AA56" s="1">
        <v>1649</v>
      </c>
      <c r="AC56" s="1">
        <v>3024</v>
      </c>
      <c r="AF56" s="1">
        <v>907</v>
      </c>
      <c r="AH56" s="1">
        <v>7064</v>
      </c>
      <c r="AJ56" s="1">
        <v>479</v>
      </c>
      <c r="AL56" s="1">
        <v>6300</v>
      </c>
      <c r="AO56" s="1">
        <v>19698</v>
      </c>
      <c r="AQ56" s="1">
        <v>26915</v>
      </c>
      <c r="AS56" s="1">
        <v>13120</v>
      </c>
      <c r="AU56" s="1">
        <v>95500</v>
      </c>
      <c r="AW56" s="1">
        <v>95500</v>
      </c>
      <c r="AY56" s="1">
        <v>95500</v>
      </c>
      <c r="BA56" s="1">
        <v>4115</v>
      </c>
      <c r="BC56" s="1">
        <v>12701</v>
      </c>
      <c r="BF56" s="1">
        <v>1250</v>
      </c>
      <c r="BI56" s="1">
        <v>1755</v>
      </c>
      <c r="BK56" s="1">
        <v>183</v>
      </c>
      <c r="BN56" s="1">
        <v>538</v>
      </c>
      <c r="BP56" s="1">
        <v>641</v>
      </c>
      <c r="BR56" s="1">
        <v>256</v>
      </c>
      <c r="BU56" s="1">
        <v>2714</v>
      </c>
      <c r="BW56" s="1">
        <v>892</v>
      </c>
      <c r="BZ56" s="1">
        <v>419</v>
      </c>
      <c r="CC56" s="1">
        <v>148</v>
      </c>
      <c r="CH56" s="1">
        <f>3674+13981</f>
        <v>17655</v>
      </c>
      <c r="CJ56" s="1">
        <v>14373</v>
      </c>
      <c r="CL56" s="20">
        <v>3772</v>
      </c>
      <c r="CM56" s="20"/>
      <c r="CR56" s="1">
        <v>5795</v>
      </c>
      <c r="CT56" s="1">
        <v>5795</v>
      </c>
      <c r="CV56" s="1">
        <v>5795</v>
      </c>
      <c r="CX56" s="1">
        <v>5795</v>
      </c>
      <c r="CZ56" s="1">
        <v>5795</v>
      </c>
      <c r="DB56" s="1">
        <v>5795</v>
      </c>
      <c r="DD56" s="1">
        <v>5795</v>
      </c>
      <c r="DF56" s="1">
        <v>5795</v>
      </c>
      <c r="DI56" s="1">
        <v>12343</v>
      </c>
      <c r="DK56" s="20">
        <v>14373</v>
      </c>
      <c r="DL56" s="20"/>
      <c r="DM56" s="20">
        <v>14373</v>
      </c>
      <c r="DN56" s="20"/>
      <c r="DP56" s="20">
        <v>14373</v>
      </c>
      <c r="DQ56" s="20"/>
      <c r="DR56" s="20">
        <v>14373</v>
      </c>
      <c r="DS56" s="20"/>
      <c r="DU56" s="20">
        <v>14373</v>
      </c>
      <c r="DV56" s="20"/>
    </row>
    <row r="57" spans="1:126">
      <c r="A57" s="1" t="s">
        <v>134</v>
      </c>
      <c r="CH57" s="1">
        <v>2305</v>
      </c>
      <c r="CL57" s="20"/>
      <c r="CM57" s="20"/>
      <c r="DK57" s="20"/>
      <c r="DL57" s="20"/>
      <c r="DM57" s="20"/>
      <c r="DN57" s="20"/>
      <c r="DP57" s="20"/>
      <c r="DQ57" s="20"/>
      <c r="DR57" s="20"/>
      <c r="DS57" s="20"/>
      <c r="DU57" s="20"/>
      <c r="DV57" s="20"/>
    </row>
    <row r="58" spans="1:126">
      <c r="A58" s="1" t="s">
        <v>22</v>
      </c>
      <c r="B58" s="1">
        <v>1642</v>
      </c>
      <c r="D58" s="1">
        <v>9265</v>
      </c>
      <c r="F58" s="1">
        <v>1639</v>
      </c>
      <c r="K58" s="1">
        <v>13</v>
      </c>
      <c r="N58" s="1">
        <v>6062</v>
      </c>
      <c r="R58" s="1">
        <v>2189</v>
      </c>
      <c r="V58" s="1">
        <v>2261</v>
      </c>
      <c r="X58" s="1">
        <v>688</v>
      </c>
      <c r="AA58" s="1">
        <v>7870</v>
      </c>
      <c r="AC58" s="1">
        <v>5460</v>
      </c>
      <c r="AF58" s="1">
        <v>629</v>
      </c>
      <c r="AJ58" s="1">
        <v>337</v>
      </c>
      <c r="AO58" s="1">
        <v>11182</v>
      </c>
      <c r="AQ58" s="1">
        <v>9778</v>
      </c>
      <c r="AS58" s="1">
        <v>1279</v>
      </c>
      <c r="AU58" s="1">
        <v>20600</v>
      </c>
      <c r="AW58" s="1">
        <v>20600</v>
      </c>
      <c r="AY58" s="1">
        <v>20600</v>
      </c>
      <c r="BA58" s="1">
        <v>168</v>
      </c>
      <c r="BC58" s="1">
        <v>3071</v>
      </c>
      <c r="BF58" s="1">
        <v>293</v>
      </c>
      <c r="BK58" s="1">
        <v>981</v>
      </c>
      <c r="BP58" s="1">
        <v>3699</v>
      </c>
      <c r="BR58" s="1">
        <v>864</v>
      </c>
      <c r="BU58" s="1">
        <v>6279</v>
      </c>
      <c r="BW58" s="1">
        <f>1405+1563</f>
        <v>2968</v>
      </c>
      <c r="BZ58" s="1">
        <v>1152</v>
      </c>
      <c r="CE58" s="1">
        <v>309</v>
      </c>
      <c r="CH58" s="1">
        <v>21774</v>
      </c>
      <c r="CJ58" s="1">
        <v>23969</v>
      </c>
      <c r="CL58" s="20">
        <v>2303</v>
      </c>
      <c r="CM58" s="20"/>
      <c r="CR58" s="1">
        <v>7077</v>
      </c>
      <c r="CT58" s="1">
        <v>7077</v>
      </c>
      <c r="CV58" s="1">
        <v>7077</v>
      </c>
      <c r="CX58" s="1">
        <v>7077</v>
      </c>
      <c r="CZ58" s="1">
        <v>7077</v>
      </c>
      <c r="DB58" s="1">
        <v>7077</v>
      </c>
      <c r="DD58" s="1">
        <v>7077</v>
      </c>
      <c r="DF58" s="1">
        <v>7077</v>
      </c>
      <c r="DK58" s="20">
        <v>23969</v>
      </c>
      <c r="DL58" s="20"/>
      <c r="DM58" s="20">
        <v>23969</v>
      </c>
      <c r="DN58" s="20"/>
      <c r="DP58" s="20">
        <v>23969</v>
      </c>
      <c r="DQ58" s="20"/>
      <c r="DR58" s="20">
        <v>23969</v>
      </c>
      <c r="DS58" s="20"/>
      <c r="DU58" s="20">
        <v>23969</v>
      </c>
      <c r="DV58" s="20"/>
    </row>
    <row r="59" spans="1:126">
      <c r="A59" s="1" t="s">
        <v>12</v>
      </c>
      <c r="B59" s="4">
        <v>284</v>
      </c>
      <c r="D59" s="4">
        <v>3762</v>
      </c>
      <c r="F59" s="4">
        <v>2972</v>
      </c>
      <c r="I59" s="4">
        <f>45+318+112+115+74</f>
        <v>664</v>
      </c>
      <c r="K59" s="4">
        <v>77</v>
      </c>
      <c r="N59" s="4">
        <f>1282+302</f>
        <v>1584</v>
      </c>
      <c r="P59" s="4">
        <f>884+5060</f>
        <v>5944</v>
      </c>
      <c r="R59" s="4">
        <f>693+3+1704</f>
        <v>2400</v>
      </c>
      <c r="T59" s="4">
        <v>6904</v>
      </c>
      <c r="V59" s="4">
        <f>2352+2827+1</f>
        <v>5180</v>
      </c>
      <c r="X59" s="4">
        <v>672</v>
      </c>
      <c r="AA59" s="4">
        <v>2590</v>
      </c>
      <c r="AC59" s="4">
        <v>3594</v>
      </c>
      <c r="AF59" s="4">
        <f>150+6698+1494</f>
        <v>8342</v>
      </c>
      <c r="AH59" s="4">
        <v>6929</v>
      </c>
      <c r="AJ59" s="4">
        <v>8171</v>
      </c>
      <c r="AL59" s="4">
        <f>1701+3063</f>
        <v>4764</v>
      </c>
      <c r="AO59" s="4">
        <f>4065+11943</f>
        <v>16008</v>
      </c>
      <c r="AQ59" s="4">
        <f>4756+2225+547+17439</f>
        <v>24967</v>
      </c>
      <c r="AS59" s="4">
        <v>9009</v>
      </c>
      <c r="AU59" s="4">
        <v>83900</v>
      </c>
      <c r="AW59" s="4">
        <v>83900</v>
      </c>
      <c r="AY59" s="4">
        <v>83900</v>
      </c>
      <c r="BA59" s="4">
        <f>150+173+4120</f>
        <v>4443</v>
      </c>
      <c r="BC59" s="4">
        <v>12943</v>
      </c>
      <c r="BF59" s="4">
        <v>1547</v>
      </c>
      <c r="BI59" s="4">
        <f>3934+6403</f>
        <v>10337</v>
      </c>
      <c r="BK59" s="4">
        <f>804</f>
        <v>804</v>
      </c>
      <c r="BN59" s="4">
        <v>3691</v>
      </c>
      <c r="BP59" s="4">
        <v>13481</v>
      </c>
      <c r="BR59" s="4">
        <v>2073</v>
      </c>
      <c r="BU59" s="4">
        <f>2643+1387</f>
        <v>4030</v>
      </c>
      <c r="BW59" s="4">
        <f>296+145+1524</f>
        <v>1965</v>
      </c>
      <c r="BZ59" s="4">
        <v>752</v>
      </c>
      <c r="CC59" s="4">
        <f>648+217</f>
        <v>865</v>
      </c>
      <c r="CE59" s="4">
        <v>2722</v>
      </c>
      <c r="CH59" s="4">
        <f>4527+7894</f>
        <v>12421</v>
      </c>
      <c r="CJ59" s="4">
        <v>20361</v>
      </c>
      <c r="CL59" s="22">
        <f>3554+3603</f>
        <v>7157</v>
      </c>
      <c r="CM59" s="20"/>
      <c r="CN59" s="4"/>
      <c r="CP59" s="4"/>
      <c r="CR59" s="4"/>
      <c r="CT59" s="4"/>
      <c r="CV59" s="4"/>
      <c r="CX59" s="4"/>
      <c r="CZ59" s="4"/>
      <c r="DB59" s="4"/>
      <c r="DD59" s="4"/>
      <c r="DF59" s="4"/>
      <c r="DI59" s="4">
        <f>576+468+4140</f>
        <v>5184</v>
      </c>
      <c r="DK59" s="22">
        <v>20361</v>
      </c>
      <c r="DL59" s="20"/>
      <c r="DM59" s="22">
        <v>20361</v>
      </c>
      <c r="DN59" s="20"/>
      <c r="DP59" s="22">
        <v>20361</v>
      </c>
      <c r="DQ59" s="20"/>
      <c r="DR59" s="22">
        <v>20361</v>
      </c>
      <c r="DS59" s="20"/>
      <c r="DU59" s="22">
        <v>20361</v>
      </c>
      <c r="DV59" s="20"/>
    </row>
    <row r="60" spans="1:126">
      <c r="B60" s="6">
        <f>SUM(B56:B59)</f>
        <v>2606</v>
      </c>
      <c r="D60" s="6">
        <f>SUM(D55:D59)</f>
        <v>35443</v>
      </c>
      <c r="F60" s="6">
        <f>SUM(F55:F59)</f>
        <v>12181</v>
      </c>
      <c r="I60" s="6">
        <f>SUM(I55:I59)</f>
        <v>4699</v>
      </c>
      <c r="K60" s="6">
        <f>SUM(K56:K59)</f>
        <v>90</v>
      </c>
      <c r="N60" s="6">
        <f>SUM(N55:N59)</f>
        <v>25166</v>
      </c>
      <c r="P60" s="6">
        <f>SUM(P55:P59)</f>
        <v>25093</v>
      </c>
      <c r="R60" s="6">
        <f>SUM(R55:R59)</f>
        <v>20597</v>
      </c>
      <c r="T60" s="6">
        <f>SUM(T55:T59)</f>
        <v>25414</v>
      </c>
      <c r="V60" s="6">
        <f>SUM(V55:V59)</f>
        <v>16595</v>
      </c>
      <c r="X60" s="6">
        <f>SUM(X55:X59)</f>
        <v>3543</v>
      </c>
      <c r="AA60" s="6">
        <f>SUM(AA55:AA59)</f>
        <v>20104</v>
      </c>
      <c r="AC60" s="6">
        <f>SUM(AC55:AC59)</f>
        <v>21191</v>
      </c>
      <c r="AF60" s="6">
        <f>SUM(AF55:AF59)</f>
        <v>38986</v>
      </c>
      <c r="AH60" s="6">
        <f>SUM(AH56:AH59)</f>
        <v>13993</v>
      </c>
      <c r="AJ60" s="6">
        <f>SUM(AJ55:AJ59)</f>
        <v>37349</v>
      </c>
      <c r="AL60" s="6">
        <f>SUM(AL55:AL59)</f>
        <v>62236</v>
      </c>
      <c r="AO60" s="6">
        <f>SUM(AO55:AO59)</f>
        <v>83106</v>
      </c>
      <c r="AQ60" s="6">
        <f>SUM(AQ55:AQ59)</f>
        <v>102471</v>
      </c>
      <c r="AS60" s="6">
        <f>SUM(AS55:AS59)</f>
        <v>44283</v>
      </c>
      <c r="AU60" s="6">
        <f>SUM(AU55:AU59)</f>
        <v>301000</v>
      </c>
      <c r="AW60" s="6">
        <f>SUM(AW55:AW59)</f>
        <v>301000</v>
      </c>
      <c r="AY60" s="6">
        <f>SUM(AY55:AY59)</f>
        <v>301000</v>
      </c>
      <c r="BA60" s="6">
        <f>SUM(BA55:BA59)</f>
        <v>25780</v>
      </c>
      <c r="BC60" s="6">
        <f>SUM(BC55:BC59)</f>
        <v>53784</v>
      </c>
      <c r="BF60" s="6">
        <f>SUM(BF56:BF59)</f>
        <v>3090</v>
      </c>
      <c r="BI60" s="6">
        <f>SUM(BI55:BI59)</f>
        <v>16251</v>
      </c>
      <c r="BK60" s="6">
        <f>SUM(BK55:BK59)</f>
        <v>2062</v>
      </c>
      <c r="BN60" s="6">
        <f>SUM(BN55:BN59)</f>
        <v>20308</v>
      </c>
      <c r="BP60" s="6">
        <f>SUM(BP55:BP59)</f>
        <v>56772</v>
      </c>
      <c r="BR60" s="6">
        <f>SUM(BR55:BR59)</f>
        <v>11426</v>
      </c>
      <c r="BU60" s="6">
        <f>SUM(BU55:BU59)</f>
        <v>23386</v>
      </c>
      <c r="BW60" s="6">
        <f>SUM(BW55:BW59)</f>
        <v>13316</v>
      </c>
      <c r="BZ60" s="6">
        <f>SUM(BZ55:BZ59)</f>
        <v>11406</v>
      </c>
      <c r="CC60" s="6">
        <f>SUM(CC55:CC59)</f>
        <v>1015</v>
      </c>
      <c r="CE60" s="6">
        <f>SUM(CE55:CE59)</f>
        <v>3031</v>
      </c>
      <c r="CH60" s="6">
        <f>SUM(CH55:CH59)</f>
        <v>115672</v>
      </c>
      <c r="CJ60" s="6">
        <f>SUM(CJ55:CJ59)</f>
        <v>122306</v>
      </c>
      <c r="CL60" s="6">
        <f>SUM(CL55:CL59)</f>
        <v>52682</v>
      </c>
      <c r="CM60" s="20"/>
      <c r="CN60" s="6">
        <f>248497+119772+53021</f>
        <v>421290</v>
      </c>
      <c r="CP60" s="6">
        <f>47506+64208+178521</f>
        <v>290235</v>
      </c>
      <c r="CR60" s="6">
        <f>SUM(CR55:CR59)</f>
        <v>313132</v>
      </c>
      <c r="CT60" s="6">
        <f>SUM(CT55:CT59)</f>
        <v>313132</v>
      </c>
      <c r="CV60" s="6">
        <f>SUM(CV55:CV59)</f>
        <v>313132</v>
      </c>
      <c r="CX60" s="6">
        <f>SUM(CX55:CX59)</f>
        <v>313132</v>
      </c>
      <c r="CZ60" s="6">
        <f>SUM(CZ55:CZ59)</f>
        <v>313132</v>
      </c>
      <c r="DB60" s="6">
        <f>SUM(DB55:DB59)</f>
        <v>313132</v>
      </c>
      <c r="DD60" s="6">
        <f>SUM(DD55:DD59)</f>
        <v>313132</v>
      </c>
      <c r="DF60" s="6">
        <f>SUM(DF55:DF59)</f>
        <v>313132</v>
      </c>
      <c r="DI60" s="6">
        <f>SUM(DI55:DI59)</f>
        <v>42152</v>
      </c>
      <c r="DK60" s="6">
        <f>SUM(DK55:DK59)</f>
        <v>122306</v>
      </c>
      <c r="DL60" s="20"/>
      <c r="DM60" s="6">
        <f>SUM(DM55:DM59)</f>
        <v>122306</v>
      </c>
      <c r="DN60" s="20"/>
      <c r="DP60" s="6">
        <f>SUM(DP55:DP59)</f>
        <v>122306</v>
      </c>
      <c r="DQ60" s="20"/>
      <c r="DR60" s="6">
        <f>SUM(DR55:DR59)</f>
        <v>122306</v>
      </c>
      <c r="DS60" s="20"/>
      <c r="DU60" s="6">
        <f>SUM(DU55:DU59)</f>
        <v>122306</v>
      </c>
      <c r="DV60" s="20"/>
    </row>
    <row r="61" spans="1:126">
      <c r="A61" s="7" t="s">
        <v>23</v>
      </c>
      <c r="B61" s="1">
        <v>5104</v>
      </c>
      <c r="D61" s="1">
        <v>28625</v>
      </c>
      <c r="F61" s="1">
        <v>19208</v>
      </c>
      <c r="I61" s="1">
        <v>16048</v>
      </c>
      <c r="K61" s="1">
        <v>871</v>
      </c>
      <c r="N61" s="1">
        <v>21241</v>
      </c>
      <c r="P61" s="1">
        <v>57014</v>
      </c>
      <c r="R61" s="1">
        <v>7812</v>
      </c>
      <c r="T61" s="1">
        <v>74472</v>
      </c>
      <c r="V61" s="1">
        <v>23253</v>
      </c>
      <c r="X61" s="1">
        <v>42569</v>
      </c>
      <c r="AA61" s="1">
        <v>19271</v>
      </c>
      <c r="AC61" s="1">
        <v>25804</v>
      </c>
      <c r="AF61" s="1">
        <v>72488</v>
      </c>
      <c r="AH61" s="1">
        <v>27611</v>
      </c>
      <c r="AJ61" s="1">
        <v>78202</v>
      </c>
      <c r="AL61" s="1">
        <v>27482</v>
      </c>
      <c r="AO61" s="1">
        <v>181148</v>
      </c>
      <c r="AQ61" s="1">
        <v>130407</v>
      </c>
      <c r="AS61" s="1">
        <v>61049</v>
      </c>
      <c r="AU61" s="1">
        <v>319900</v>
      </c>
      <c r="AW61" s="1">
        <v>319900</v>
      </c>
      <c r="AY61" s="1">
        <v>319900</v>
      </c>
      <c r="BA61" s="1">
        <v>31960</v>
      </c>
      <c r="BC61" s="1">
        <v>74910</v>
      </c>
      <c r="BF61" s="1">
        <v>5055</v>
      </c>
      <c r="BI61" s="1">
        <v>27723</v>
      </c>
      <c r="BK61" s="1">
        <v>22642</v>
      </c>
      <c r="BN61" s="1">
        <v>27460</v>
      </c>
      <c r="BP61" s="1">
        <v>45441</v>
      </c>
      <c r="BR61" s="1">
        <v>8107</v>
      </c>
      <c r="BU61" s="1">
        <v>64139</v>
      </c>
      <c r="BW61" s="1">
        <v>14815</v>
      </c>
      <c r="BZ61" s="1">
        <v>7779</v>
      </c>
      <c r="CC61" s="1">
        <v>9279</v>
      </c>
      <c r="CE61" s="1">
        <v>45248</v>
      </c>
      <c r="CH61" s="1">
        <v>90037</v>
      </c>
      <c r="CJ61" s="1">
        <v>81825</v>
      </c>
      <c r="CL61" s="20">
        <v>35643</v>
      </c>
      <c r="CM61" s="20"/>
      <c r="CN61" s="1">
        <v>91162</v>
      </c>
      <c r="CP61" s="1">
        <v>190459</v>
      </c>
      <c r="CR61" s="1">
        <v>84326</v>
      </c>
      <c r="CT61" s="1">
        <v>84326</v>
      </c>
      <c r="CV61" s="1">
        <v>84326</v>
      </c>
      <c r="CX61" s="1">
        <v>84326</v>
      </c>
      <c r="CZ61" s="1">
        <v>84326</v>
      </c>
      <c r="DB61" s="1">
        <v>84326</v>
      </c>
      <c r="DD61" s="1">
        <v>84326</v>
      </c>
      <c r="DF61" s="1">
        <v>84326</v>
      </c>
      <c r="DI61" s="1">
        <v>53502</v>
      </c>
      <c r="DK61" s="20">
        <v>81825</v>
      </c>
      <c r="DL61" s="20"/>
      <c r="DM61" s="20">
        <v>81825</v>
      </c>
      <c r="DN61" s="20"/>
      <c r="DP61" s="20">
        <v>81825</v>
      </c>
      <c r="DQ61" s="20"/>
      <c r="DR61" s="20">
        <v>81825</v>
      </c>
      <c r="DS61" s="20"/>
      <c r="DU61" s="20">
        <v>81825</v>
      </c>
      <c r="DV61" s="20"/>
    </row>
    <row r="62" spans="1:126">
      <c r="A62" s="1" t="s">
        <v>24</v>
      </c>
      <c r="B62" s="8">
        <f>B61+B60+B53</f>
        <v>16748</v>
      </c>
      <c r="D62" s="8">
        <f>D61+D60+D53</f>
        <v>101936</v>
      </c>
      <c r="F62" s="8">
        <f>F61+F60+F53</f>
        <v>48064</v>
      </c>
      <c r="I62" s="8">
        <f>I61+I60+I53</f>
        <v>27094</v>
      </c>
      <c r="K62" s="8">
        <f>K61+K60+K53</f>
        <v>1729</v>
      </c>
      <c r="N62" s="8">
        <f>N61+N60+N53</f>
        <v>62167</v>
      </c>
      <c r="P62" s="8">
        <f>P61+P60+P53</f>
        <v>96064</v>
      </c>
      <c r="R62" s="8">
        <f>R61+R60+R53</f>
        <v>42086</v>
      </c>
      <c r="T62" s="8">
        <f>T61+T60+T53</f>
        <v>126254</v>
      </c>
      <c r="V62" s="8">
        <f>V61+V60+V53</f>
        <v>55899</v>
      </c>
      <c r="X62" s="8">
        <f>X61+X60+X53</f>
        <v>70337</v>
      </c>
      <c r="AA62" s="8">
        <f>AA61+AA60+AA53</f>
        <v>52765</v>
      </c>
      <c r="AC62" s="8">
        <f>AC61+AC60+AC53</f>
        <v>64327</v>
      </c>
      <c r="AF62" s="8">
        <f>AF61+AF60+AF53</f>
        <v>142698</v>
      </c>
      <c r="AH62" s="8">
        <f>AH61+AH60+AH53</f>
        <v>62870</v>
      </c>
      <c r="AJ62" s="8">
        <f>AJ61+AJ60+AJ53</f>
        <v>139576</v>
      </c>
      <c r="AL62" s="8">
        <f>AL61+AL60+AL53</f>
        <v>118862</v>
      </c>
      <c r="AO62" s="8">
        <f>AO61+AO60+AO53</f>
        <v>357512</v>
      </c>
      <c r="AQ62" s="8">
        <f>AQ61+AQ60+AQ53</f>
        <v>305690</v>
      </c>
      <c r="AS62" s="8">
        <f>AS61+AS60+AS53</f>
        <v>138341</v>
      </c>
      <c r="AU62" s="8">
        <f>AU61+AU60+AU53</f>
        <v>784400</v>
      </c>
      <c r="AW62" s="8">
        <f>AW61+AW60+AW53</f>
        <v>784400</v>
      </c>
      <c r="AY62" s="8">
        <f>AY61+AY60+AY53</f>
        <v>784400</v>
      </c>
      <c r="BA62" s="8">
        <f>BA61+BA60+BA53</f>
        <v>65974</v>
      </c>
      <c r="BC62" s="8">
        <f>BC61+BC60+BC53</f>
        <v>173491</v>
      </c>
      <c r="BF62" s="8">
        <f>BF61+BF60+BF53</f>
        <v>15039</v>
      </c>
      <c r="BI62" s="8">
        <f>BI61+BI60+BI53</f>
        <v>55674</v>
      </c>
      <c r="BK62" s="8">
        <f>BK61+BK60+BK53</f>
        <v>31298</v>
      </c>
      <c r="BN62" s="8">
        <f>BN61+BN60+BN53</f>
        <v>56294</v>
      </c>
      <c r="BP62" s="8">
        <f>BP61+BP60+BP53</f>
        <v>122621</v>
      </c>
      <c r="BR62" s="8">
        <f>BR61+BR60+BR53</f>
        <v>25077</v>
      </c>
      <c r="BU62" s="8">
        <f>BU61+BU60+BU53</f>
        <v>120442</v>
      </c>
      <c r="BW62" s="8">
        <f>BW61+BW60+BW53</f>
        <v>45513</v>
      </c>
      <c r="BZ62" s="8">
        <f>BZ61+BZ60+BZ53</f>
        <v>27327</v>
      </c>
      <c r="CC62" s="8">
        <f>CC61+CC60+CC53</f>
        <v>13756</v>
      </c>
      <c r="CE62" s="8">
        <f>CE61+CE60+CE53</f>
        <v>65676</v>
      </c>
      <c r="CH62" s="8">
        <f>CH61+CH60+CH53</f>
        <v>324335</v>
      </c>
      <c r="CJ62" s="8">
        <f>CJ61+CJ60+CJ53</f>
        <v>309644</v>
      </c>
      <c r="CL62" s="8">
        <f>CL61+CL60+CL53</f>
        <v>138368</v>
      </c>
      <c r="CM62" s="20"/>
      <c r="CN62" s="8">
        <f>CN61+CN60+CN53</f>
        <v>1800140</v>
      </c>
      <c r="CP62" s="8">
        <f>CP61+CP60+CP53</f>
        <v>2671318</v>
      </c>
      <c r="CR62" s="8">
        <f>CR61+CR60+CR53</f>
        <v>1269628</v>
      </c>
      <c r="CT62" s="8">
        <f>CT61+CT60+CT53</f>
        <v>1269628</v>
      </c>
      <c r="CV62" s="8">
        <f>CV61+CV60+CV53</f>
        <v>1269628</v>
      </c>
      <c r="CX62" s="8">
        <f>CX61+CX60+CX53</f>
        <v>1269628</v>
      </c>
      <c r="CZ62" s="8">
        <f>CZ61+CZ60+CZ53</f>
        <v>1269628</v>
      </c>
      <c r="DB62" s="8">
        <f>DB61+DB60+DB53</f>
        <v>1269628</v>
      </c>
      <c r="DD62" s="8">
        <f>DD61+DD60+DD53</f>
        <v>1269628</v>
      </c>
      <c r="DF62" s="8">
        <f>DF61+DF60+DF53</f>
        <v>1269628</v>
      </c>
      <c r="DI62" s="8">
        <f>DI61+DI60+DI53</f>
        <v>111025</v>
      </c>
      <c r="DK62" s="25">
        <v>309644</v>
      </c>
      <c r="DL62" s="20"/>
      <c r="DM62" s="25">
        <v>309644</v>
      </c>
      <c r="DN62" s="20"/>
      <c r="DP62" s="25">
        <v>309644</v>
      </c>
      <c r="DQ62" s="20"/>
      <c r="DR62" s="25">
        <v>309644</v>
      </c>
      <c r="DS62" s="20"/>
      <c r="DU62" s="25">
        <v>309644</v>
      </c>
      <c r="DV62" s="20"/>
    </row>
    <row r="63" spans="1:126">
      <c r="B63" s="10"/>
      <c r="D63" s="10"/>
      <c r="F63" s="10"/>
      <c r="I63" s="10"/>
      <c r="K63" s="10"/>
      <c r="N63" s="10"/>
      <c r="P63" s="10"/>
      <c r="R63" s="10"/>
      <c r="T63" s="10"/>
      <c r="V63" s="10"/>
      <c r="X63" s="10"/>
      <c r="AA63" s="10"/>
      <c r="AC63" s="10"/>
      <c r="CL63" s="20"/>
      <c r="CM63" s="20"/>
      <c r="DI63" s="10"/>
      <c r="DK63" s="20"/>
      <c r="DL63" s="20"/>
      <c r="DM63" s="20"/>
      <c r="DN63" s="20"/>
      <c r="DP63" s="20"/>
      <c r="DQ63" s="20"/>
      <c r="DR63" s="20"/>
      <c r="DS63" s="20"/>
      <c r="DU63" s="20"/>
      <c r="DV63" s="20"/>
    </row>
    <row r="64" spans="1:126" ht="18">
      <c r="A64" s="11" t="s">
        <v>45</v>
      </c>
      <c r="CL64" s="20"/>
      <c r="CM64" s="20"/>
      <c r="DK64" s="20"/>
      <c r="DL64" s="20"/>
      <c r="DM64" s="20"/>
      <c r="DN64" s="20"/>
      <c r="DP64" s="20"/>
      <c r="DQ64" s="20"/>
      <c r="DR64" s="20"/>
      <c r="DS64" s="20"/>
      <c r="DU64" s="20"/>
      <c r="DV64" s="20"/>
    </row>
    <row r="65" spans="1:126" ht="18">
      <c r="A65" s="11" t="s">
        <v>106</v>
      </c>
      <c r="CL65" s="20"/>
      <c r="CM65" s="20"/>
      <c r="DK65" s="20"/>
      <c r="DL65" s="20"/>
      <c r="DM65" s="20"/>
      <c r="DN65" s="20"/>
      <c r="DP65" s="20"/>
      <c r="DQ65" s="20"/>
      <c r="DR65" s="20"/>
      <c r="DS65" s="20"/>
      <c r="DU65" s="20"/>
      <c r="DV65" s="20"/>
    </row>
    <row r="66" spans="1:126">
      <c r="A66" s="1" t="s">
        <v>67</v>
      </c>
      <c r="B66" s="3">
        <f>B9/B5</f>
        <v>0.19463219695100892</v>
      </c>
      <c r="D66" s="3">
        <f>D9/D5</f>
        <v>0.2744919743812762</v>
      </c>
      <c r="F66" s="3">
        <f>F9/F5</f>
        <v>0.28656088701969029</v>
      </c>
      <c r="I66" s="3">
        <f>I9/I5</f>
        <v>0.70270591733571219</v>
      </c>
      <c r="N66" s="3">
        <f>N9/N5</f>
        <v>0.78375374091492089</v>
      </c>
      <c r="P66" s="3">
        <f>P9/P5</f>
        <v>0.67724803496100272</v>
      </c>
      <c r="R66" s="3">
        <f>R9/R5</f>
        <v>0.69069986794944349</v>
      </c>
      <c r="T66" s="3">
        <f>T9/T5</f>
        <v>0.6771926795580111</v>
      </c>
      <c r="V66" s="3">
        <f>V9/V5</f>
        <v>0.79537940959122555</v>
      </c>
      <c r="X66" s="3">
        <f>X9/X5</f>
        <v>0.83896520365672711</v>
      </c>
      <c r="AA66" s="3">
        <f>AA9/AA5</f>
        <v>0.5079117389399912</v>
      </c>
      <c r="AC66" s="3">
        <f>AC9/AC5</f>
        <v>0.26301616939120276</v>
      </c>
      <c r="AF66" s="3">
        <f>AF9/AF5</f>
        <v>0.31364607942400718</v>
      </c>
      <c r="AJ66" s="3">
        <f>AJ9/AJ5</f>
        <v>0.32037830967102571</v>
      </c>
      <c r="AL66" s="3">
        <f>AL9/AL5</f>
        <v>0</v>
      </c>
      <c r="AO66" s="3">
        <f>AO9/AO5</f>
        <v>0.21555065542344898</v>
      </c>
      <c r="AQ66" s="3">
        <f>AQ9/AQ5</f>
        <v>0.21307657410533423</v>
      </c>
      <c r="AS66" s="3">
        <f>AS9/AS5</f>
        <v>0.2218192280530441</v>
      </c>
      <c r="AU66" s="3">
        <f>AU9/AU5</f>
        <v>1</v>
      </c>
      <c r="AW66" s="3">
        <f>AW9/AW5</f>
        <v>1</v>
      </c>
      <c r="AY66" s="3">
        <f>AY9/AY5</f>
        <v>1</v>
      </c>
      <c r="BA66" s="3">
        <f>BA9/BA5</f>
        <v>0.84905168820341814</v>
      </c>
      <c r="BC66" s="3">
        <f>BC9/BC5</f>
        <v>0.28643500043692288</v>
      </c>
      <c r="BI66" s="3">
        <f>BI9/BI5</f>
        <v>0.65504820062437819</v>
      </c>
      <c r="BK66" s="3">
        <f>BK9/BK5</f>
        <v>0.71265668523676884</v>
      </c>
      <c r="BN66" s="3">
        <f>BN9/BN5</f>
        <v>0.78275104467324341</v>
      </c>
      <c r="BP66" s="3">
        <f>BP9/BP5</f>
        <v>0.58632224961014134</v>
      </c>
      <c r="BR66" s="3">
        <f>BR9/BR5</f>
        <v>0.60902650223038568</v>
      </c>
      <c r="BU66" s="3">
        <f>BU9/BU5</f>
        <v>0.48028386032683001</v>
      </c>
      <c r="BW66" s="3">
        <f>BW9/BW5</f>
        <v>0.41271562543928347</v>
      </c>
      <c r="BZ66" s="3">
        <f>BZ9/BZ5</f>
        <v>0.78196181698485845</v>
      </c>
      <c r="CC66" s="3">
        <f>CC9/CC5</f>
        <v>0.59333891413537432</v>
      </c>
      <c r="CE66" s="3">
        <f>CE9/CE5</f>
        <v>0.59141114792862592</v>
      </c>
      <c r="CH66" s="3">
        <f>CH9/CH5</f>
        <v>0.18070423893567233</v>
      </c>
      <c r="CJ66" s="3">
        <f>CJ9/CJ5</f>
        <v>0.1824721293778156</v>
      </c>
      <c r="CL66" s="23">
        <v>0.18</v>
      </c>
      <c r="CM66" s="20"/>
      <c r="CN66" s="3">
        <f>CN9/CN5</f>
        <v>0.67514173420054957</v>
      </c>
      <c r="CP66" s="3">
        <f>CP9/CP5</f>
        <v>0.82619265088175364</v>
      </c>
      <c r="CR66" s="3">
        <f>CR9/CR5</f>
        <v>1</v>
      </c>
      <c r="CT66" s="3">
        <f>CT9/CT5</f>
        <v>1</v>
      </c>
      <c r="CV66" s="3">
        <f>CV9/CV5</f>
        <v>1</v>
      </c>
      <c r="CX66" s="3">
        <f>CX9/CX5</f>
        <v>1</v>
      </c>
      <c r="CZ66" s="3">
        <f>CZ9/CZ5</f>
        <v>1</v>
      </c>
      <c r="DB66" s="3">
        <f>DB9/DB5</f>
        <v>1</v>
      </c>
      <c r="DD66" s="3">
        <f>DD9/DD5</f>
        <v>1</v>
      </c>
      <c r="DF66" s="3">
        <f>DF9/DF5</f>
        <v>1</v>
      </c>
      <c r="DI66" s="3">
        <f>DI9/DI5</f>
        <v>0.81554005198256829</v>
      </c>
      <c r="DK66" s="23">
        <v>0.18</v>
      </c>
      <c r="DL66" s="20"/>
      <c r="DM66" s="23">
        <v>0.18</v>
      </c>
      <c r="DN66" s="20"/>
      <c r="DP66" s="23">
        <v>0.18</v>
      </c>
      <c r="DQ66" s="20"/>
      <c r="DR66" s="23">
        <v>0.18</v>
      </c>
      <c r="DS66" s="20"/>
      <c r="DU66" s="23">
        <v>0.18</v>
      </c>
      <c r="DV66" s="20"/>
    </row>
    <row r="67" spans="1:126">
      <c r="A67" s="1" t="s">
        <v>68</v>
      </c>
      <c r="B67" s="3">
        <f>B15/B5</f>
        <v>7.2179189895900137E-2</v>
      </c>
      <c r="D67" s="3">
        <f>D15/D5</f>
        <v>7.0214280066418916E-2</v>
      </c>
      <c r="F67" s="3">
        <f>F15/F5</f>
        <v>0.10483177212770024</v>
      </c>
      <c r="I67" s="3">
        <f>I15/I5</f>
        <v>0.26535831103181684</v>
      </c>
      <c r="N67" s="3">
        <f>N15/N5</f>
        <v>0.35006412997007269</v>
      </c>
      <c r="P67" s="3">
        <f>P15/P5</f>
        <v>0.15495736092986556</v>
      </c>
      <c r="R67" s="3">
        <f>R15/R5</f>
        <v>0.26515751744953781</v>
      </c>
      <c r="T67" s="3">
        <f>T15/T5</f>
        <v>0.18836325966850828</v>
      </c>
      <c r="V67" s="3">
        <f>V15/V5</f>
        <v>0.14437400334487185</v>
      </c>
      <c r="X67" s="3">
        <f>X15/X5</f>
        <v>0.37683673957784902</v>
      </c>
      <c r="AA67" s="3">
        <f>AA15/AA5</f>
        <v>0.11358409986859395</v>
      </c>
      <c r="AC67" s="3">
        <f>AC15/AC5</f>
        <v>0.11401135540906146</v>
      </c>
      <c r="AF67" s="3">
        <f>AF15/AF5</f>
        <v>-3.9127010912363598E-2</v>
      </c>
      <c r="AJ67" s="3">
        <f>AJ15/AJ5</f>
        <v>0.13059870306137839</v>
      </c>
      <c r="AL67" s="3">
        <f>AL15/AL5</f>
        <v>0.1656122395331312</v>
      </c>
      <c r="AO67" s="3">
        <f>AO15/AO5</f>
        <v>6.1961062417587288E-2</v>
      </c>
      <c r="AQ67" s="3">
        <f>AQ15/AQ5</f>
        <v>7.5381920999324781E-2</v>
      </c>
      <c r="AS67" s="3">
        <f>AS15/AS5</f>
        <v>7.7491128800230166E-2</v>
      </c>
      <c r="AU67" s="3">
        <f>AU15/AU5</f>
        <v>0.29035000708516367</v>
      </c>
      <c r="AW67" s="3">
        <f>AW15/AW5</f>
        <v>0.29035000708516367</v>
      </c>
      <c r="AY67" s="3">
        <f>AY15/AY5</f>
        <v>0.29035000708516367</v>
      </c>
      <c r="BA67" s="3">
        <f>BA15/BA5</f>
        <v>0.19106919549812421</v>
      </c>
      <c r="BC67" s="3">
        <f>BC15/BC5</f>
        <v>0.10376044973930267</v>
      </c>
      <c r="BI67" s="3">
        <f>BI15/BI5</f>
        <v>0.20220247692888263</v>
      </c>
      <c r="BK67" s="3">
        <f>BK15/BK5</f>
        <v>0.1627350278551532</v>
      </c>
      <c r="BN67" s="3">
        <f>BN15/BN5</f>
        <v>0.18106233576013442</v>
      </c>
      <c r="BP67" s="3">
        <f>BP15/BP5</f>
        <v>0.3202625886614015</v>
      </c>
      <c r="BR67" s="3">
        <f>BR15/BR5</f>
        <v>0.29064987317414503</v>
      </c>
      <c r="BU67" s="3">
        <f>BU15/BU5</f>
        <v>0.14179995225590833</v>
      </c>
      <c r="BW67" s="3">
        <f>BW15/BW5</f>
        <v>0.15095286864670562</v>
      </c>
      <c r="BZ67" s="3">
        <f>BZ15/BZ5</f>
        <v>0.35628703094140884</v>
      </c>
      <c r="CC67" s="3">
        <f>CC15/CC5</f>
        <v>0.1836283185840708</v>
      </c>
      <c r="CE67" s="3">
        <f>CE15/CE5</f>
        <v>0.17243042267544065</v>
      </c>
      <c r="CH67" s="3">
        <f>CH15/CH5</f>
        <v>5.9236473830879106E-2</v>
      </c>
      <c r="CJ67" s="3">
        <f>CJ15/CJ5</f>
        <v>7.5136498577923566E-2</v>
      </c>
      <c r="CL67" s="23">
        <v>0.06</v>
      </c>
      <c r="CM67" s="20"/>
      <c r="CN67" s="3">
        <f>CN15/CN5</f>
        <v>0.13620395812319572</v>
      </c>
      <c r="CP67" s="3">
        <f>CP15/CP5</f>
        <v>0.28440947094779739</v>
      </c>
      <c r="CR67" s="3">
        <f>CR15/CR5</f>
        <v>3.7936230193448044E-2</v>
      </c>
      <c r="CT67" s="3">
        <f>CT15/CT5</f>
        <v>3.7936230193448044E-2</v>
      </c>
      <c r="CV67" s="3">
        <f>CV15/CV5</f>
        <v>3.7936230193448044E-2</v>
      </c>
      <c r="CX67" s="3">
        <f>CX15/CX5</f>
        <v>3.7936230193448044E-2</v>
      </c>
      <c r="CZ67" s="3">
        <f>CZ15/CZ5</f>
        <v>3.7936230193448044E-2</v>
      </c>
      <c r="DB67" s="3">
        <f>DB15/DB5</f>
        <v>3.7936230193448044E-2</v>
      </c>
      <c r="DD67" s="3">
        <f>DD15/DD5</f>
        <v>3.7936230193448044E-2</v>
      </c>
      <c r="DF67" s="3">
        <f>DF15/DF5</f>
        <v>3.7936230193448044E-2</v>
      </c>
      <c r="DI67" s="3">
        <f>DI15/DI5</f>
        <v>0.14519942936428837</v>
      </c>
      <c r="DK67" s="23">
        <v>0.06</v>
      </c>
      <c r="DL67" s="20"/>
      <c r="DM67" s="23">
        <v>0.06</v>
      </c>
      <c r="DN67" s="20"/>
      <c r="DP67" s="23">
        <v>0.06</v>
      </c>
      <c r="DQ67" s="20"/>
      <c r="DR67" s="23">
        <v>0.06</v>
      </c>
      <c r="DS67" s="20"/>
      <c r="DU67" s="23">
        <v>0.06</v>
      </c>
      <c r="DV67" s="20"/>
    </row>
    <row r="68" spans="1:126">
      <c r="A68" s="1" t="s">
        <v>109</v>
      </c>
      <c r="B68" s="3">
        <f>B22/D5</f>
        <v>1.4417121319944123E-2</v>
      </c>
      <c r="D68" s="3">
        <f>D22/D5</f>
        <v>5.8116549379299436E-2</v>
      </c>
      <c r="F68" s="3">
        <f>F22/F5</f>
        <v>6.9465685337411584E-2</v>
      </c>
      <c r="I68" s="3">
        <f>I22/I5</f>
        <v>0.19774011299435029</v>
      </c>
      <c r="N68" s="3">
        <f>N22/N5</f>
        <v>0.24311671654553227</v>
      </c>
      <c r="P68" s="3">
        <f>P22/P5</f>
        <v>0.1175988589117174</v>
      </c>
      <c r="R68" s="3">
        <f>R22/R5</f>
        <v>0.21233729485002831</v>
      </c>
      <c r="T68" s="3">
        <f>T22/T5</f>
        <v>0.16042817679558011</v>
      </c>
      <c r="V68" s="3">
        <f>V22/V5</f>
        <v>9.9996110614134034E-2</v>
      </c>
      <c r="X68" s="3">
        <f>X22/X5</f>
        <v>0.30134494806873113</v>
      </c>
      <c r="AA68" s="3">
        <f>AA22/AA5</f>
        <v>6.7674113009198428E-2</v>
      </c>
      <c r="AC68" s="3">
        <f>AC22/AC5</f>
        <v>6.6328798790788651E-2</v>
      </c>
      <c r="AF68" s="3">
        <f>AF22/AF5</f>
        <v>1.5142310721115985E-2</v>
      </c>
      <c r="AJ68" s="3">
        <f>AJ22/AJ5</f>
        <v>0.1508714479608764</v>
      </c>
      <c r="AL68" s="3">
        <f>AL22/AL5</f>
        <v>8.7082245316415771E-2</v>
      </c>
      <c r="AO68" s="3">
        <f>AO22/AO5</f>
        <v>3.6623932097465846E-2</v>
      </c>
      <c r="AQ68" s="3">
        <f>AQ22/AQ5</f>
        <v>6.2663529709655635E-2</v>
      </c>
      <c r="AS68" s="3">
        <f>AS22/AS5</f>
        <v>4.3235655684106818E-2</v>
      </c>
      <c r="AU68" s="3">
        <f>AU22/AU5</f>
        <v>9.8483774975201929E-2</v>
      </c>
      <c r="AW68" s="3">
        <f>AW22/AW5</f>
        <v>9.8483774975201929E-2</v>
      </c>
      <c r="AY68" s="3">
        <f>AY22/AY5</f>
        <v>9.8483774975201929E-2</v>
      </c>
      <c r="BA68" s="3">
        <f>BA22/BA5</f>
        <v>0.12765735723218008</v>
      </c>
      <c r="BC68" s="3">
        <f>BC22/BC5</f>
        <v>5.045585622323847E-2</v>
      </c>
      <c r="BI68" s="3">
        <f>BI22/BI5</f>
        <v>0.13540773268379705</v>
      </c>
      <c r="BK68" s="3">
        <f>BK22/BK5</f>
        <v>0.12887360724233984</v>
      </c>
      <c r="BN68" s="3">
        <f>BN22/BN5</f>
        <v>0.15125145392667902</v>
      </c>
      <c r="BP68" s="3">
        <f>BP22/BP5</f>
        <v>0.23728557774535944</v>
      </c>
      <c r="BR68" s="3">
        <f>BR22/BR5</f>
        <v>0.22688708125601328</v>
      </c>
      <c r="BU68" s="3">
        <f>BU22/BU5</f>
        <v>0.11333796306343454</v>
      </c>
      <c r="BW68" s="3">
        <f>BW22/BW5</f>
        <v>0.10568909773681145</v>
      </c>
      <c r="BZ68" s="3">
        <f>BZ22/BZ5</f>
        <v>0.27136273864384464</v>
      </c>
      <c r="CC68" s="3">
        <f>CC22/CC5</f>
        <v>0.14243004066012915</v>
      </c>
      <c r="CE68" s="3">
        <f>CE22/CE5</f>
        <v>0.1334142281545091</v>
      </c>
      <c r="CH68" s="3">
        <f>CH22/CH5</f>
        <v>4.6419670367042795E-2</v>
      </c>
      <c r="CJ68" s="3">
        <f>CJ22/CJ5</f>
        <v>0.11357927297639561</v>
      </c>
      <c r="CL68" s="3">
        <f>CL22/CL5</f>
        <v>7.0209576901838072E-2</v>
      </c>
      <c r="CM68" s="20"/>
      <c r="CN68" s="3">
        <f>CN22/CN5</f>
        <v>9.4588014329936354E-2</v>
      </c>
      <c r="CP68" s="3">
        <f>CP22/CP5</f>
        <v>0.25012295369914989</v>
      </c>
      <c r="CR68" s="3">
        <f>CR22/CR5</f>
        <v>3.6137843880626033E-2</v>
      </c>
      <c r="CT68" s="3">
        <f>CT22/CT5</f>
        <v>3.6137843880626033E-2</v>
      </c>
      <c r="CV68" s="3">
        <f>CV22/CV5</f>
        <v>3.6137843880626033E-2</v>
      </c>
      <c r="CX68" s="3">
        <f>CX22/CX5</f>
        <v>3.6137843880626033E-2</v>
      </c>
      <c r="CZ68" s="3">
        <f>CZ22/CZ5</f>
        <v>3.6137843880626033E-2</v>
      </c>
      <c r="DB68" s="3">
        <f>DB22/DB5</f>
        <v>3.6137843880626033E-2</v>
      </c>
      <c r="DD68" s="3">
        <f>DD22/DD5</f>
        <v>3.6137843880626033E-2</v>
      </c>
      <c r="DF68" s="3">
        <f>DF22/DF5</f>
        <v>3.6137843880626033E-2</v>
      </c>
      <c r="DI68" s="3">
        <f>DI22/DI5</f>
        <v>2.1086162083992888E-2</v>
      </c>
      <c r="DK68" s="3">
        <f>DK22/DK5</f>
        <v>0.11357927297639561</v>
      </c>
      <c r="DL68" s="20"/>
      <c r="DM68" s="3">
        <f>DM22/DM5</f>
        <v>0.11357927297639561</v>
      </c>
      <c r="DN68" s="20"/>
      <c r="DP68" s="3">
        <f>DP22/DP5</f>
        <v>0.11357927297639561</v>
      </c>
      <c r="DQ68" s="20"/>
      <c r="DR68" s="3">
        <f>DR22/DR5</f>
        <v>0.11357927297639561</v>
      </c>
      <c r="DS68" s="20"/>
      <c r="DU68" s="3">
        <f>DU22/DU5</f>
        <v>0.11357927297639561</v>
      </c>
      <c r="DV68" s="20"/>
    </row>
    <row r="69" spans="1:126">
      <c r="A69" s="1" t="s">
        <v>108</v>
      </c>
      <c r="B69" s="3">
        <f>(B18-B16)/(B61+B60)</f>
        <v>0.18975356679636834</v>
      </c>
      <c r="D69" s="3">
        <f>(D18-D16)/(D55+D61)</f>
        <v>0.12385963423431069</v>
      </c>
      <c r="F69" s="3">
        <f>F20/F43</f>
        <v>6.1251664447403459E-2</v>
      </c>
      <c r="I69" s="3">
        <f>I20/I43</f>
        <v>0.12272089761570827</v>
      </c>
      <c r="N69" s="3">
        <f>N20/N43</f>
        <v>0.18294271880579729</v>
      </c>
      <c r="P69" s="3">
        <f>P20/P43</f>
        <v>4.0337271638994428E-2</v>
      </c>
      <c r="R69" s="3">
        <f>R20/R43</f>
        <v>0.1337261797272252</v>
      </c>
      <c r="T69" s="3">
        <f>T20/T43</f>
        <v>7.3597668192690924E-2</v>
      </c>
      <c r="V69" s="3">
        <f>V20/V43</f>
        <v>4.5993667149680673E-2</v>
      </c>
      <c r="X69" s="3">
        <f>X20/X43</f>
        <v>0.35804768471785831</v>
      </c>
      <c r="AA69" s="3">
        <f>AA20/AA43</f>
        <v>4.684923718373922E-2</v>
      </c>
      <c r="AC69" s="3">
        <f>AC20/AC43</f>
        <v>8.1178976168638367E-2</v>
      </c>
      <c r="AF69" s="3">
        <f>AF20/AF43</f>
        <v>4.7162539068522332E-3</v>
      </c>
      <c r="AJ69" s="3">
        <f>AJ20/AJ43</f>
        <v>5.0173382243365622E-2</v>
      </c>
      <c r="AL69" s="3">
        <f>AL20/AL43</f>
        <v>4.1804782016119535E-2</v>
      </c>
      <c r="AO69" s="3">
        <f>AO20/AO43</f>
        <v>4.6225021817449481E-2</v>
      </c>
      <c r="AQ69" s="3">
        <f>AQ20/AQ43</f>
        <v>7.7719258071902914E-2</v>
      </c>
      <c r="AS69" s="3">
        <f>AS20/AS43</f>
        <v>3.586954163080195E-2</v>
      </c>
      <c r="AU69" s="3">
        <f>AU20/AU43</f>
        <v>8.860275369709332E-2</v>
      </c>
      <c r="AW69" s="3">
        <f>AW20/AW43</f>
        <v>8.860275369709332E-2</v>
      </c>
      <c r="AY69" s="3">
        <f>AY20/AY43</f>
        <v>8.860275369709332E-2</v>
      </c>
      <c r="BA69" s="3">
        <f>BA20/BA43</f>
        <v>3.3422257252857183E-2</v>
      </c>
      <c r="BC69" s="3">
        <f>BC20/BC43</f>
        <v>4.9921897965888723E-2</v>
      </c>
      <c r="BI69" s="3">
        <f>BI20/BI43</f>
        <v>7.0894852175162559E-2</v>
      </c>
      <c r="BK69" s="3">
        <f>BK20/BK43</f>
        <v>9.4606684133171443E-2</v>
      </c>
      <c r="BN69" s="3">
        <f>BN20/BN43</f>
        <v>6.236899136675312E-2</v>
      </c>
      <c r="BP69" s="3">
        <f>BP20/BP43</f>
        <v>7.6936250723774885E-2</v>
      </c>
      <c r="BR69" s="3">
        <f>BR20/BR43</f>
        <v>0.10344140048650158</v>
      </c>
      <c r="BU69" s="3">
        <f>BU20/BU43</f>
        <v>8.6722239750253227E-2</v>
      </c>
      <c r="BW69" s="3">
        <f>BW20/BW43</f>
        <v>0.11563729044448839</v>
      </c>
      <c r="BZ69" s="3">
        <f>BZ20/BZ43</f>
        <v>0.15083982874080579</v>
      </c>
      <c r="CC69" s="3">
        <f>CC20/CC43</f>
        <v>0.17316080255888339</v>
      </c>
      <c r="CE69" s="3">
        <f>CE20/CE43</f>
        <v>0.26116085023448443</v>
      </c>
      <c r="CH69" s="3">
        <f>CH20/CH43</f>
        <v>2.8196329081530403E-2</v>
      </c>
      <c r="CJ69" s="3">
        <f>CJ20/CJ43</f>
        <v>7.2071241322074528E-2</v>
      </c>
      <c r="CL69" s="23">
        <v>7.0000000000000007E-2</v>
      </c>
      <c r="CM69" s="20"/>
      <c r="CN69" s="3">
        <f>CN20/CN43</f>
        <v>3.0214316664259446E-3</v>
      </c>
      <c r="CP69" s="3">
        <f>CP20/CP43</f>
        <v>6.6633774039631371E-3</v>
      </c>
      <c r="CR69" s="3">
        <f>CR20/CR43</f>
        <v>2.3424184091718203E-3</v>
      </c>
      <c r="CT69" s="3">
        <f>CT20/CT43</f>
        <v>2.3424184091718203E-3</v>
      </c>
      <c r="CV69" s="3">
        <f>CV20/CV43</f>
        <v>2.3424184091718203E-3</v>
      </c>
      <c r="CX69" s="3">
        <f>CX20/CX43</f>
        <v>2.3424184091718203E-3</v>
      </c>
      <c r="CZ69" s="3">
        <f>CZ20/CZ43</f>
        <v>2.3424184091718203E-3</v>
      </c>
      <c r="DB69" s="3">
        <f>DB20/DB43</f>
        <v>2.3424184091718203E-3</v>
      </c>
      <c r="DD69" s="3">
        <f>DD20/DD43</f>
        <v>2.3424184091718203E-3</v>
      </c>
      <c r="DF69" s="3">
        <f>DF20/DF43</f>
        <v>2.3424184091718203E-3</v>
      </c>
      <c r="DI69" s="3">
        <f>DI20/DI43</f>
        <v>9.7185318621931995E-3</v>
      </c>
      <c r="DK69" s="23">
        <v>7.0000000000000007E-2</v>
      </c>
      <c r="DL69" s="20"/>
      <c r="DM69" s="23">
        <v>7.0000000000000007E-2</v>
      </c>
      <c r="DN69" s="20"/>
      <c r="DP69" s="23">
        <v>7.0000000000000007E-2</v>
      </c>
      <c r="DQ69" s="20"/>
      <c r="DR69" s="23">
        <v>7.0000000000000007E-2</v>
      </c>
      <c r="DS69" s="20"/>
      <c r="DU69" s="23">
        <v>7.0000000000000007E-2</v>
      </c>
      <c r="DV69" s="20"/>
    </row>
    <row r="70" spans="1:126">
      <c r="A70" s="1" t="s">
        <v>107</v>
      </c>
      <c r="B70" s="3">
        <f>B22/B61</f>
        <v>0.21434169278996865</v>
      </c>
      <c r="D70" s="3">
        <f>D22/D61</f>
        <v>0.15406113537117905</v>
      </c>
      <c r="F70" s="3">
        <f>F20/F61</f>
        <v>0.15326947105372762</v>
      </c>
      <c r="I70" s="3">
        <f>I20/I61</f>
        <v>0.20719092721834498</v>
      </c>
      <c r="K70" s="3">
        <f>K20/K61</f>
        <v>-3.6739380022962113E-2</v>
      </c>
      <c r="N70" s="3">
        <f>N20/N61</f>
        <v>0.53542676898451114</v>
      </c>
      <c r="P70" s="3">
        <f>P20/P61</f>
        <v>6.7965762795102955E-2</v>
      </c>
      <c r="R70" s="3">
        <f>R20/R61</f>
        <v>0.72043010752688175</v>
      </c>
      <c r="T70" s="3">
        <f>T20/T61</f>
        <v>0.12477172628638951</v>
      </c>
      <c r="V70" s="3">
        <f>V20/V61</f>
        <v>0.11056637853180235</v>
      </c>
      <c r="X70" s="3">
        <f>X20/X61</f>
        <v>0.59160421903262939</v>
      </c>
      <c r="AA70" s="3">
        <f>AA20/AA61</f>
        <v>0.1282756473457527</v>
      </c>
      <c r="AC70" s="3">
        <f>AC20/AC61</f>
        <v>0.20237172531390482</v>
      </c>
      <c r="AF70" s="3">
        <f>AF20/AF61</f>
        <v>9.2842953316410997E-3</v>
      </c>
      <c r="AH70" s="3">
        <f>AH20/AH61</f>
        <v>-1.7457897214878129</v>
      </c>
      <c r="AJ70" s="3">
        <f>AJ20/AJ61</f>
        <v>8.9550139382624488E-2</v>
      </c>
      <c r="AL70" s="3">
        <f>AL20/AL61</f>
        <v>0.18080925696819736</v>
      </c>
      <c r="AO70" s="3">
        <f>AO20/AO61</f>
        <v>9.1229271093249714E-2</v>
      </c>
      <c r="AQ70" s="3">
        <f>AQ20/AQ61</f>
        <v>0.1821834717461486</v>
      </c>
      <c r="AS70" s="3">
        <f>AS20/AS61</f>
        <v>8.1229831774476235E-2</v>
      </c>
      <c r="AU70" s="3">
        <f>AU20/AU61</f>
        <v>0.21725539231009691</v>
      </c>
      <c r="AW70" s="3">
        <f>AW20/AW61</f>
        <v>0.21725539231009691</v>
      </c>
      <c r="AY70" s="3">
        <f>AY20/AY61</f>
        <v>0.21725539231009691</v>
      </c>
      <c r="BA70" s="3">
        <f>BA20/BA61</f>
        <v>6.899249061326658E-2</v>
      </c>
      <c r="BC70" s="3">
        <f>BC20/BC61</f>
        <v>0.11561874249098919</v>
      </c>
      <c r="BF70" s="3">
        <f>BF20/BF61</f>
        <v>-3.8460929772502475</v>
      </c>
      <c r="BI70" s="3">
        <f>BI20/BI61</f>
        <v>0.14237275908090755</v>
      </c>
      <c r="BK70" s="3">
        <f>BK20/BK61</f>
        <v>0.13077466654889144</v>
      </c>
      <c r="BN70" s="3">
        <f>BN20/BN61</f>
        <v>0.12785870356882739</v>
      </c>
      <c r="BP70" s="3">
        <f>BP20/BP61</f>
        <v>0.20760986774058671</v>
      </c>
      <c r="BR70" s="3">
        <f>BR20/BR61</f>
        <v>0.31997039595411375</v>
      </c>
      <c r="BU70" s="3">
        <f>BU20/BU61</f>
        <v>0.1628494363803614</v>
      </c>
      <c r="BW70" s="3">
        <f>BW20/BW61</f>
        <v>0.35524805939925752</v>
      </c>
      <c r="BZ70" s="3">
        <f>BZ20/BZ61</f>
        <v>0.5298881604319321</v>
      </c>
      <c r="CC70" s="3">
        <f>CC20/CC61</f>
        <v>0.25670869705787264</v>
      </c>
      <c r="CE70" s="3">
        <f>CE20/CE61</f>
        <v>0.37906647807637905</v>
      </c>
      <c r="CH70" s="3">
        <f>CH20/CH61</f>
        <v>0.10156935482079589</v>
      </c>
      <c r="CJ70" s="3">
        <f>CJ20/CJ61</f>
        <v>0.26744882370913536</v>
      </c>
      <c r="CL70" s="23">
        <v>0.27</v>
      </c>
      <c r="CM70" s="20"/>
      <c r="CN70" s="3">
        <f>CN20/CN61</f>
        <v>5.966301748535574E-2</v>
      </c>
      <c r="CP70" s="3">
        <f>CP20/CP61</f>
        <v>9.3458434623724787E-2</v>
      </c>
      <c r="CR70" s="3">
        <f>CR20/CR61</f>
        <v>3.5267888907335815E-2</v>
      </c>
      <c r="CT70" s="3">
        <f>CT20/CT61</f>
        <v>3.5267888907335815E-2</v>
      </c>
      <c r="CV70" s="3">
        <f>CV20/CV61</f>
        <v>3.5267888907335815E-2</v>
      </c>
      <c r="CX70" s="3">
        <f>CX20/CX61</f>
        <v>3.5267888907335815E-2</v>
      </c>
      <c r="CZ70" s="3">
        <f>CZ20/CZ61</f>
        <v>3.5267888907335815E-2</v>
      </c>
      <c r="DB70" s="3">
        <f>DB20/DB61</f>
        <v>3.5267888907335815E-2</v>
      </c>
      <c r="DD70" s="3">
        <f>DD20/DD61</f>
        <v>3.5267888907335815E-2</v>
      </c>
      <c r="DF70" s="3">
        <f>DF20/DF61</f>
        <v>3.5267888907335815E-2</v>
      </c>
      <c r="DI70" s="3">
        <f>DI20/DI61</f>
        <v>2.0167470374939253E-2</v>
      </c>
      <c r="DK70" s="23">
        <v>0.27</v>
      </c>
      <c r="DL70" s="20"/>
      <c r="DM70" s="23">
        <v>0.27</v>
      </c>
      <c r="DN70" s="20"/>
      <c r="DP70" s="23">
        <v>0.27</v>
      </c>
      <c r="DQ70" s="20"/>
      <c r="DR70" s="23">
        <v>0.27</v>
      </c>
      <c r="DS70" s="20"/>
      <c r="DU70" s="23">
        <v>0.27</v>
      </c>
      <c r="DV70" s="20"/>
    </row>
    <row r="71" spans="1:126">
      <c r="A71" s="32" t="s">
        <v>110</v>
      </c>
      <c r="B71" s="3"/>
      <c r="D71" s="3"/>
      <c r="F71" s="3"/>
      <c r="I71" s="3"/>
      <c r="K71" s="3"/>
      <c r="N71" s="3"/>
      <c r="P71" s="3"/>
      <c r="R71" s="3"/>
      <c r="T71" s="3"/>
      <c r="V71" s="3"/>
      <c r="X71" s="3"/>
      <c r="AA71" s="3"/>
      <c r="AC71" s="3"/>
      <c r="AF71" s="3"/>
      <c r="AH71" s="3"/>
      <c r="AJ71" s="3"/>
      <c r="AL71" s="3"/>
      <c r="AO71" s="3"/>
      <c r="AQ71" s="3"/>
      <c r="AS71" s="3"/>
      <c r="AU71" s="3"/>
      <c r="AW71" s="3"/>
      <c r="AY71" s="3"/>
      <c r="BA71" s="3"/>
      <c r="BC71" s="3"/>
      <c r="BF71" s="3"/>
      <c r="BI71" s="3"/>
      <c r="BK71" s="3"/>
      <c r="BN71" s="3"/>
      <c r="BP71" s="3"/>
      <c r="BR71" s="3"/>
      <c r="BU71" s="3"/>
      <c r="BW71" s="3"/>
      <c r="BZ71" s="3"/>
      <c r="CC71" s="3"/>
      <c r="CE71" s="3"/>
      <c r="CH71" s="3"/>
      <c r="CJ71" s="3"/>
      <c r="CL71" s="23"/>
      <c r="CM71" s="20"/>
      <c r="CN71" s="3"/>
      <c r="CP71" s="3"/>
      <c r="CR71" s="3"/>
      <c r="CT71" s="3"/>
      <c r="CV71" s="3"/>
      <c r="CX71" s="3"/>
      <c r="CZ71" s="3"/>
      <c r="DB71" s="3"/>
      <c r="DD71" s="3"/>
      <c r="DF71" s="3"/>
      <c r="DI71" s="3"/>
      <c r="DK71" s="23"/>
      <c r="DL71" s="20"/>
      <c r="DM71" s="23"/>
      <c r="DN71" s="20"/>
      <c r="DP71" s="23"/>
      <c r="DQ71" s="20"/>
      <c r="DR71" s="23"/>
      <c r="DS71" s="20"/>
      <c r="DU71" s="23"/>
      <c r="DV71" s="20"/>
    </row>
    <row r="72" spans="1:126">
      <c r="A72" s="1" t="s">
        <v>31</v>
      </c>
      <c r="B72" s="9">
        <f>B42/B53</f>
        <v>2.0077450763443241</v>
      </c>
      <c r="D72" s="9">
        <f>D42/D53</f>
        <v>1.2394898066969473</v>
      </c>
      <c r="F72" s="9">
        <f>F42/F53</f>
        <v>1.5847076461769116</v>
      </c>
      <c r="I72" s="9">
        <f>I42/I53</f>
        <v>1.1583425240270995</v>
      </c>
      <c r="K72" s="9">
        <f>K42/K53</f>
        <v>0.5390625</v>
      </c>
      <c r="N72" s="9">
        <f>N42/N53</f>
        <v>1.850507614213198</v>
      </c>
      <c r="P72" s="9">
        <f>P42/P53</f>
        <v>1.7142652432471162</v>
      </c>
      <c r="R72" s="9">
        <f>R42/R53</f>
        <v>1.1133289464063756</v>
      </c>
      <c r="T72" s="9">
        <f>T42/T53</f>
        <v>1.1582979368932038</v>
      </c>
      <c r="V72" s="9">
        <f>V42/V53</f>
        <v>1.2668992586131704</v>
      </c>
      <c r="X72" s="9">
        <f>X42/X53</f>
        <v>1.7361403508771929</v>
      </c>
      <c r="AA72" s="9">
        <f>AA42/AA53</f>
        <v>1.4987303958177745</v>
      </c>
      <c r="AC72" s="9">
        <f>AC42/AC53</f>
        <v>1.6610316178167552</v>
      </c>
      <c r="AF72" s="9">
        <f>AF42/AF53</f>
        <v>0.74580450935178066</v>
      </c>
      <c r="AH72" s="9">
        <f>AH42/AH53</f>
        <v>1.2036113984764412</v>
      </c>
      <c r="AJ72" s="9">
        <f>AJ42/AJ53</f>
        <v>0.83350676378772115</v>
      </c>
      <c r="AL72" s="9">
        <f>AL42/AL53</f>
        <v>1.0041517979687071</v>
      </c>
      <c r="AO72" s="9">
        <f>AO42/AO53</f>
        <v>1.1081408565484998</v>
      </c>
      <c r="AQ72" s="9">
        <f>AQ42/AQ53</f>
        <v>1.3300005493599956</v>
      </c>
      <c r="AS72" s="9">
        <f>AS42/AS53</f>
        <v>1.5982610803114303</v>
      </c>
      <c r="AU72" s="9">
        <f>AU42/AU53</f>
        <v>1.1192660550458715</v>
      </c>
      <c r="AW72" s="9">
        <f>AW42/AW53</f>
        <v>1.1192660550458715</v>
      </c>
      <c r="AY72" s="9">
        <f>AY42/AY53</f>
        <v>1.1192660550458715</v>
      </c>
      <c r="BA72" s="9">
        <f>BA42/BA53</f>
        <v>1.7160553801311635</v>
      </c>
      <c r="BC72" s="9">
        <f>BC42/BC53</f>
        <v>1.3694443824363238</v>
      </c>
      <c r="BF72" s="9">
        <f>BF42/BF53</f>
        <v>0.729039744705541</v>
      </c>
      <c r="BI72" s="9">
        <f>BI42/BI53</f>
        <v>1.3745299145299146</v>
      </c>
      <c r="BK72" s="9">
        <f>BK42/BK53</f>
        <v>1.4185623293903549</v>
      </c>
      <c r="BN72" s="9">
        <f>BN42/BN53</f>
        <v>0.669247009148487</v>
      </c>
      <c r="BP72" s="9">
        <f>BP42/BP53</f>
        <v>1.0108780870246963</v>
      </c>
      <c r="BR72" s="9">
        <f>BR42/BR53</f>
        <v>1.5501443001443</v>
      </c>
      <c r="BU72" s="9">
        <f>BU42/BU53</f>
        <v>0.91338821885347998</v>
      </c>
      <c r="BW72" s="9">
        <f>BW42/BW53</f>
        <v>0.69738810263490969</v>
      </c>
      <c r="BZ72" s="9">
        <f>BZ42/BZ53</f>
        <v>1.1282240235814296</v>
      </c>
      <c r="CC72" s="9">
        <f>CC42/CC53</f>
        <v>1.9540727902946273</v>
      </c>
      <c r="CE72" s="9">
        <f>CE42/CE53</f>
        <v>2.2525722825774559</v>
      </c>
      <c r="CH72" s="9">
        <f>CH42/CH53</f>
        <v>1.0300608635543642</v>
      </c>
      <c r="CJ72" s="9">
        <f>CJ42/CJ53</f>
        <v>1.0715456863135349</v>
      </c>
      <c r="CL72" s="26">
        <v>1.07</v>
      </c>
      <c r="CM72" s="20"/>
      <c r="CN72" s="9">
        <f>CN42/CN53</f>
        <v>0.85436534315765933</v>
      </c>
      <c r="CP72" s="9">
        <f>CP42/CP53</f>
        <v>0.76704993645646169</v>
      </c>
      <c r="CR72" s="9">
        <f>CR42/CR53</f>
        <v>0.62859648921655187</v>
      </c>
      <c r="CT72" s="9">
        <f>CT42/CT53</f>
        <v>0.62859648921655187</v>
      </c>
      <c r="CV72" s="9">
        <f>CV42/CV53</f>
        <v>0.62859648921655187</v>
      </c>
      <c r="CX72" s="9">
        <f>CX42/CX53</f>
        <v>0.62859648921655187</v>
      </c>
      <c r="CZ72" s="9">
        <f>CZ42/CZ53</f>
        <v>0.62859648921655187</v>
      </c>
      <c r="DB72" s="9">
        <f>DB42/DB53</f>
        <v>0.62859648921655187</v>
      </c>
      <c r="DD72" s="9">
        <f>DD42/DD53</f>
        <v>0.62859648921655187</v>
      </c>
      <c r="DF72" s="9">
        <f>DF42/DF53</f>
        <v>0.62859648921655187</v>
      </c>
      <c r="DI72" s="9">
        <f>DI42/DI53</f>
        <v>1.4496129074230695</v>
      </c>
      <c r="DK72" s="26">
        <v>1.07</v>
      </c>
      <c r="DL72" s="20"/>
      <c r="DM72" s="26">
        <v>1.07</v>
      </c>
      <c r="DN72" s="20"/>
      <c r="DP72" s="26">
        <v>1.07</v>
      </c>
      <c r="DQ72" s="20"/>
      <c r="DR72" s="26">
        <v>1.07</v>
      </c>
      <c r="DS72" s="20"/>
      <c r="DU72" s="26">
        <v>1.07</v>
      </c>
      <c r="DV72" s="20"/>
    </row>
    <row r="73" spans="1:126">
      <c r="A73" s="1" t="s">
        <v>32</v>
      </c>
      <c r="B73" s="9">
        <f>(B42-B35)/B53</f>
        <v>1.1998229696835583</v>
      </c>
      <c r="D73" s="9">
        <f>(D42-D35)/D53</f>
        <v>0.82858878208513786</v>
      </c>
      <c r="F73" s="9">
        <f>(F42-F35)/F53</f>
        <v>1.2246476761619189</v>
      </c>
      <c r="I73" s="9">
        <f>(I42-I35)/I53</f>
        <v>1.1583425240270995</v>
      </c>
      <c r="K73" s="9">
        <f>(K42-K35)/K53</f>
        <v>0.53645833333333337</v>
      </c>
      <c r="N73" s="9">
        <f>(N42-N35)/N53</f>
        <v>1.4757614213197969</v>
      </c>
      <c r="P73" s="9">
        <f>(P42-P35)/P53</f>
        <v>1.2591531131331948</v>
      </c>
      <c r="R73" s="9">
        <f>(R42-R35)/R53</f>
        <v>0.82817869415807566</v>
      </c>
      <c r="T73" s="9">
        <f>(T42-T35)/T53</f>
        <v>0.88269872572815533</v>
      </c>
      <c r="V73" s="9">
        <f>(V42-V35)/V53</f>
        <v>1.1479658588249952</v>
      </c>
      <c r="X73" s="9">
        <f>(X42-X35)/X53</f>
        <v>1.3418369453044376</v>
      </c>
      <c r="AA73" s="9">
        <f>(AA42-AA35)/AA53</f>
        <v>1.0231516056758776</v>
      </c>
      <c r="AC73" s="9">
        <f>(AC42-AC35)/AC53</f>
        <v>1.0881029309946919</v>
      </c>
      <c r="AF73" s="9">
        <f>(AF42-AF35)/AF53</f>
        <v>0.73139251857545473</v>
      </c>
      <c r="AH73" s="9">
        <f>(AH42-AH35)/AH53</f>
        <v>1.1477475782939903</v>
      </c>
      <c r="AJ73" s="9">
        <f>(AJ42-AJ35)/AJ53</f>
        <v>0.81327783558792921</v>
      </c>
      <c r="AL73" s="9">
        <f>(AL42-AL35)/AL53</f>
        <v>0.9703541037606368</v>
      </c>
      <c r="AO73" s="9">
        <f>(AO42-AO35)/AO53</f>
        <v>0.78635613030517493</v>
      </c>
      <c r="AQ73" s="9">
        <f>(AQ42-AQ35)/AQ53</f>
        <v>0.92854199857166397</v>
      </c>
      <c r="AS73" s="9">
        <f>(AS42-AS35)/AS53</f>
        <v>1.3577509164167347</v>
      </c>
      <c r="AU73" s="9">
        <f>(AU42-AU35)/AU53</f>
        <v>0.96452599388379201</v>
      </c>
      <c r="AW73" s="9">
        <f>(AW42-AW35)/AW53</f>
        <v>0.96452599388379201</v>
      </c>
      <c r="AY73" s="9">
        <f>(AY42-AY35)/AY53</f>
        <v>0.96452599388379201</v>
      </c>
      <c r="BA73" s="9">
        <f>(BA42-BA35)/BA53</f>
        <v>1.6142822443526841</v>
      </c>
      <c r="BC73" s="9">
        <f>(BC42-BC35)/BC53</f>
        <v>1.0117641806370963</v>
      </c>
      <c r="BF73" s="9">
        <f>(BF42-BF35)/BF53</f>
        <v>0.66898752538439221</v>
      </c>
      <c r="BI73" s="9">
        <f>(BI42-BI35)/BI53</f>
        <v>0.64068376068376065</v>
      </c>
      <c r="BK73" s="9">
        <f>(BK42-BK35)/BK53</f>
        <v>1.0911434637549287</v>
      </c>
      <c r="BN73" s="9">
        <f>(BN42-BN35)/BN53</f>
        <v>0.53143326296035653</v>
      </c>
      <c r="BP73" s="9">
        <f>(BP42-BP35)/BP53</f>
        <v>0.88837710701685613</v>
      </c>
      <c r="BR73" s="9">
        <f>(BR42-BR35)/BR53</f>
        <v>0.78860028860028863</v>
      </c>
      <c r="BU73" s="9">
        <f>(BU42-BU35)/BU53</f>
        <v>0.65874775951635933</v>
      </c>
      <c r="BW73" s="9">
        <f>(BW42-BW35)/BW53</f>
        <v>0.47088942584282589</v>
      </c>
      <c r="BZ73" s="9">
        <f>(BZ42-BZ35)/BZ53</f>
        <v>0.63375092114959475</v>
      </c>
      <c r="CC73" s="9">
        <f>(CC42-CC35)/CC53</f>
        <v>1.4696707105719238</v>
      </c>
      <c r="CE73" s="9">
        <f>(CE42-CE35)/CE53</f>
        <v>1.292924067367937</v>
      </c>
      <c r="CH73" s="9">
        <f>(CH42-CH35)/CH53</f>
        <v>0.78852022322256499</v>
      </c>
      <c r="CJ73" s="9">
        <f>(CJ42-CJ35)/CJ53</f>
        <v>0.79978770388482934</v>
      </c>
      <c r="CL73" s="26">
        <v>0.8</v>
      </c>
      <c r="CM73" s="20"/>
      <c r="CN73" s="9">
        <f>(CN42-CN35)/CN53</f>
        <v>0.85436534315765933</v>
      </c>
      <c r="CP73" s="9">
        <f>(CP42-CP35)/CP53</f>
        <v>0.76704993645646169</v>
      </c>
      <c r="CR73" s="9">
        <f>(CR42-CR35)/CR53</f>
        <v>0.62859648921655187</v>
      </c>
      <c r="CT73" s="9">
        <f>(CT42-CT35)/CT53</f>
        <v>0.62859648921655187</v>
      </c>
      <c r="CV73" s="9">
        <f>(CV42-CV35)/CV53</f>
        <v>0.62859648921655187</v>
      </c>
      <c r="CX73" s="9">
        <f>(CX42-CX35)/CX53</f>
        <v>0.62859648921655187</v>
      </c>
      <c r="CZ73" s="9">
        <f>(CZ42-CZ35)/CZ53</f>
        <v>0.62859648921655187</v>
      </c>
      <c r="DB73" s="9">
        <f>(DB42-DB35)/DB53</f>
        <v>0.62859648921655187</v>
      </c>
      <c r="DD73" s="9">
        <f>(DD42-DD35)/DD53</f>
        <v>0.62859648921655187</v>
      </c>
      <c r="DF73" s="9">
        <f>(DF42-DF35)/DF53</f>
        <v>0.62859648921655187</v>
      </c>
      <c r="DI73" s="9">
        <f>(DI42-DI35)/DI53</f>
        <v>1.0763775941708411</v>
      </c>
      <c r="DK73" s="26">
        <v>0.8</v>
      </c>
      <c r="DL73" s="20"/>
      <c r="DM73" s="26">
        <v>0.8</v>
      </c>
      <c r="DN73" s="20"/>
      <c r="DP73" s="26">
        <v>0.8</v>
      </c>
      <c r="DQ73" s="20"/>
      <c r="DR73" s="26">
        <v>0.8</v>
      </c>
      <c r="DS73" s="20"/>
      <c r="DU73" s="26">
        <v>0.8</v>
      </c>
      <c r="DV73" s="20"/>
    </row>
    <row r="74" spans="1:126">
      <c r="A74" s="32" t="s">
        <v>111</v>
      </c>
      <c r="B74" s="9"/>
      <c r="D74" s="9"/>
      <c r="F74" s="9"/>
      <c r="I74" s="9"/>
      <c r="K74" s="9"/>
      <c r="N74" s="9"/>
      <c r="P74" s="9"/>
      <c r="R74" s="9"/>
      <c r="T74" s="9"/>
      <c r="V74" s="9"/>
      <c r="X74" s="9"/>
      <c r="AA74" s="9"/>
      <c r="AC74" s="9"/>
      <c r="AF74" s="9"/>
      <c r="AH74" s="9"/>
      <c r="AJ74" s="9"/>
      <c r="AL74" s="9"/>
      <c r="AO74" s="9"/>
      <c r="AQ74" s="9"/>
      <c r="AS74" s="9"/>
      <c r="AU74" s="9"/>
      <c r="AW74" s="9"/>
      <c r="AY74" s="9"/>
      <c r="BA74" s="9"/>
      <c r="BC74" s="9"/>
      <c r="BF74" s="9"/>
      <c r="BI74" s="9"/>
      <c r="BK74" s="9"/>
      <c r="BN74" s="9"/>
      <c r="BP74" s="9"/>
      <c r="BR74" s="9"/>
      <c r="BU74" s="9"/>
      <c r="BW74" s="9"/>
      <c r="BZ74" s="9"/>
      <c r="CC74" s="9"/>
      <c r="CE74" s="9"/>
      <c r="CH74" s="9"/>
      <c r="CJ74" s="9"/>
      <c r="CL74" s="26"/>
      <c r="CM74" s="20"/>
      <c r="CN74" s="9"/>
      <c r="CP74" s="9"/>
      <c r="CR74" s="9"/>
      <c r="CT74" s="9"/>
      <c r="CV74" s="9"/>
      <c r="CX74" s="9"/>
      <c r="CZ74" s="9"/>
      <c r="DB74" s="9"/>
      <c r="DD74" s="9"/>
      <c r="DF74" s="9"/>
      <c r="DI74" s="9"/>
      <c r="DK74" s="26"/>
      <c r="DL74" s="20"/>
      <c r="DM74" s="26"/>
      <c r="DN74" s="20"/>
      <c r="DP74" s="26"/>
      <c r="DQ74" s="20"/>
      <c r="DR74" s="26"/>
      <c r="DS74" s="20"/>
      <c r="DU74" s="26"/>
      <c r="DV74" s="20"/>
    </row>
    <row r="75" spans="1:126">
      <c r="A75" s="1" t="s">
        <v>34</v>
      </c>
      <c r="B75" s="9">
        <f>B5/B33</f>
        <v>1.5051982771424328</v>
      </c>
      <c r="D75" s="9">
        <f>D5/D33</f>
        <v>1.3796978126875035</v>
      </c>
      <c r="F75" s="9">
        <f>F5/F43</f>
        <v>0.8706724367509987</v>
      </c>
      <c r="I75" s="9">
        <f>I5/I33</f>
        <v>0.85173741262283453</v>
      </c>
      <c r="K75" s="9">
        <f>K5/K33</f>
        <v>0.77477477477477474</v>
      </c>
      <c r="N75" s="9">
        <f>N5/N43</f>
        <v>0.75248926279215667</v>
      </c>
      <c r="P75" s="9">
        <f>P5/P43</f>
        <v>0.34300733878103368</v>
      </c>
      <c r="R75" s="9">
        <f>R5/R43</f>
        <v>0.62978187520790763</v>
      </c>
      <c r="T75" s="9">
        <f>T5/T43</f>
        <v>0.45875774232895594</v>
      </c>
      <c r="V75" s="9">
        <f>V5/V43</f>
        <v>0.45995456090448844</v>
      </c>
      <c r="X75" s="9">
        <f>X5/X43</f>
        <v>1.1881655458720162</v>
      </c>
      <c r="AA75" s="9">
        <f>AA5/AA43</f>
        <v>0.69227707760826307</v>
      </c>
      <c r="AC75" s="9">
        <f>AC5/AC43</f>
        <v>1.2238873256952758</v>
      </c>
      <c r="AF75" s="9">
        <f>AF5/AF43</f>
        <v>0.31146196863305725</v>
      </c>
      <c r="AH75" s="9">
        <f>AH5/AH33</f>
        <v>0.62085681100434842</v>
      </c>
      <c r="AJ75" s="9">
        <f>AJ5/AJ43</f>
        <v>0.33255717315297761</v>
      </c>
      <c r="AL75" s="9">
        <f>AL5/AL43</f>
        <v>0.48006091097238812</v>
      </c>
      <c r="AO75" s="9">
        <f>AO5/AO43</f>
        <v>1.26215343820627</v>
      </c>
      <c r="AQ75" s="9">
        <f>AQ5/AQ43</f>
        <v>1.2402630115476463</v>
      </c>
      <c r="AS75" s="9">
        <f>AS5/AS43</f>
        <v>0.82962871877961097</v>
      </c>
      <c r="AU75" s="9">
        <f>AU5/AU43</f>
        <v>0.89966853646098932</v>
      </c>
      <c r="AW75" s="9">
        <f>AW5/AW43</f>
        <v>0.89966853646098932</v>
      </c>
      <c r="AY75" s="9">
        <f>AY5/AY43</f>
        <v>0.89966853646098932</v>
      </c>
      <c r="BA75" s="9">
        <f>BA5/BA43</f>
        <v>0.29090247673325853</v>
      </c>
      <c r="BC75" s="9">
        <f>BC5/BC43</f>
        <v>0.9894173184776156</v>
      </c>
      <c r="BF75" s="9">
        <f>BF5/BF33</f>
        <v>1.2232124772128823</v>
      </c>
      <c r="BI75" s="9">
        <f>BI5/BI43</f>
        <v>0.5235657578043611</v>
      </c>
      <c r="BK75" s="9">
        <f>BK5/BK43</f>
        <v>0.73410441561761131</v>
      </c>
      <c r="BN75" s="9">
        <f>BN5/BN43</f>
        <v>0.41235300387252638</v>
      </c>
      <c r="BP75" s="9">
        <f>BP5/BP43</f>
        <v>0.32423483742588954</v>
      </c>
      <c r="BR75" s="9">
        <f>BR5/BR43</f>
        <v>0.45591577939944972</v>
      </c>
      <c r="BU75" s="9">
        <f>BU5/BU43</f>
        <v>0.76516497567293806</v>
      </c>
      <c r="BW75" s="9">
        <f>BW5/BW43</f>
        <v>1.094126952738778</v>
      </c>
      <c r="BZ75" s="9">
        <f>BZ5/BZ43</f>
        <v>0.5558605042631829</v>
      </c>
      <c r="CC75" s="9">
        <f>CC5/CC43</f>
        <v>1.2157603954637977</v>
      </c>
      <c r="CE75" s="9">
        <f>CE5/CE43</f>
        <v>1.9575187283025763</v>
      </c>
      <c r="CH75" s="9">
        <f>CH5/CH33</f>
        <v>0.97460188680178683</v>
      </c>
      <c r="CJ75" s="9">
        <f>CJ5/CJ43</f>
        <v>0.63454571801188231</v>
      </c>
      <c r="CL75" s="26">
        <v>0.63</v>
      </c>
      <c r="CM75" s="20"/>
      <c r="CN75" s="9">
        <f>CN5/CN43</f>
        <v>3.1943071094470428E-2</v>
      </c>
      <c r="CP75" s="9">
        <f>CP5/CP43</f>
        <v>2.6640407469271724E-2</v>
      </c>
      <c r="CR75" s="9">
        <f>CR5/CR43</f>
        <v>6.4818986348757268E-2</v>
      </c>
      <c r="CT75" s="9">
        <f>CT5/CT43</f>
        <v>6.4818986348757268E-2</v>
      </c>
      <c r="CV75" s="9">
        <f>CV5/CV43</f>
        <v>6.4818986348757268E-2</v>
      </c>
      <c r="CX75" s="9">
        <f>CX5/CX43</f>
        <v>6.4818986348757268E-2</v>
      </c>
      <c r="CZ75" s="9">
        <f>CZ5/CZ43</f>
        <v>6.4818986348757268E-2</v>
      </c>
      <c r="DB75" s="9">
        <f>DB5/DB43</f>
        <v>6.4818986348757268E-2</v>
      </c>
      <c r="DD75" s="9">
        <f>DD5/DD43</f>
        <v>6.4818986348757268E-2</v>
      </c>
      <c r="DF75" s="9">
        <f>DF5/DF43</f>
        <v>6.4818986348757268E-2</v>
      </c>
      <c r="DI75" s="9">
        <f>DI5/DI43</f>
        <v>0.46089619455077685</v>
      </c>
      <c r="DK75" s="26">
        <v>0.63</v>
      </c>
      <c r="DL75" s="20"/>
      <c r="DM75" s="26">
        <v>0.63</v>
      </c>
      <c r="DN75" s="20"/>
      <c r="DP75" s="26">
        <v>0.63</v>
      </c>
      <c r="DQ75" s="20"/>
      <c r="DR75" s="26">
        <v>0.63</v>
      </c>
      <c r="DS75" s="20"/>
      <c r="DU75" s="26">
        <v>0.63</v>
      </c>
      <c r="DV75" s="20"/>
    </row>
    <row r="76" spans="1:126">
      <c r="A76" s="1" t="s">
        <v>113</v>
      </c>
      <c r="B76" s="49">
        <f>B35/B8*365*-1</f>
        <v>163.27064444988974</v>
      </c>
      <c r="D76" s="49">
        <f>D35/D8*365*-1</f>
        <v>103.16240713494268</v>
      </c>
      <c r="F76" s="33">
        <f>F35/F8*365</f>
        <v>-73.400991425509105</v>
      </c>
      <c r="I76" s="33">
        <f>I35/I8*365</f>
        <v>0</v>
      </c>
      <c r="K76" s="9"/>
      <c r="N76" s="9"/>
      <c r="P76" s="9"/>
      <c r="R76" s="9"/>
      <c r="T76" s="49">
        <f>T35/T8*365*-1</f>
        <v>135.27412280701753</v>
      </c>
      <c r="V76" s="9"/>
      <c r="X76" s="9"/>
      <c r="AA76" s="9"/>
      <c r="AC76" s="9"/>
      <c r="AF76" s="49">
        <f>AF35/AF8*365*-1</f>
        <v>5.3843632191444026</v>
      </c>
      <c r="AH76" s="9"/>
      <c r="AJ76" s="9"/>
      <c r="AL76" s="49" t="e">
        <f>AL35/AL8*365*-1</f>
        <v>#DIV/0!</v>
      </c>
      <c r="AO76" s="49">
        <f>AO35/AO8*365*-1</f>
        <v>30.944018012775057</v>
      </c>
      <c r="AQ76" s="49">
        <f>AQ35/AQ8*365*-1</f>
        <v>35.760949351602648</v>
      </c>
      <c r="AS76" s="49">
        <f>AS35/AS8*365*-1</f>
        <v>31.969009951236732</v>
      </c>
      <c r="AU76" s="9"/>
      <c r="AW76" s="9"/>
      <c r="AY76" s="9"/>
      <c r="BA76" s="49">
        <f>BA35/BA8*365*-1</f>
        <v>101.4157824933687</v>
      </c>
      <c r="BC76" s="49">
        <f>BC35/BC8*365*-1</f>
        <v>47.747067035685419</v>
      </c>
      <c r="BF76" s="9"/>
      <c r="BI76" s="49">
        <f>BI35/BI8*365*-1</f>
        <v>311.67478866235706</v>
      </c>
      <c r="BK76" s="49">
        <f>BK35/BK8*365*-1</f>
        <v>119.36307179642532</v>
      </c>
      <c r="BN76" s="9"/>
      <c r="BP76" s="9"/>
      <c r="BR76" s="9"/>
      <c r="BU76" s="49">
        <f>BU35/BU8*365*-1</f>
        <v>63.5910706491239</v>
      </c>
      <c r="BW76" s="49">
        <f>BW35/BW8*365*-1</f>
        <v>49.136775517182421</v>
      </c>
      <c r="BZ76" s="9"/>
      <c r="CC76" s="49">
        <f>CC35/CC8*365*-1</f>
        <v>90.002205558006168</v>
      </c>
      <c r="CE76" s="49">
        <f>CE35/CE8*365*-1</f>
        <v>116.00592053913077</v>
      </c>
      <c r="CH76" s="49">
        <f>CH35/CH8*365*-1</f>
        <v>64.794866393650835</v>
      </c>
      <c r="CJ76" s="9"/>
      <c r="CL76" s="49">
        <f>CL35/CL8*365*-1</f>
        <v>57.556676098973419</v>
      </c>
      <c r="CM76" s="20"/>
      <c r="CN76" s="49">
        <f>CN35/CN8*365*-1</f>
        <v>0</v>
      </c>
      <c r="CP76" s="49">
        <f>CP35/CP8*365*-1</f>
        <v>0</v>
      </c>
      <c r="CR76" s="9"/>
      <c r="CT76" s="9"/>
      <c r="CV76" s="9"/>
      <c r="CX76" s="9"/>
      <c r="CZ76" s="9"/>
      <c r="DB76" s="9"/>
      <c r="DD76" s="9"/>
      <c r="DF76" s="9"/>
      <c r="DI76" s="49">
        <f>DI35/DI8*365*-1</f>
        <v>221.84606420171627</v>
      </c>
      <c r="DK76" s="26"/>
      <c r="DL76" s="20"/>
      <c r="DM76" s="26"/>
      <c r="DN76" s="20"/>
      <c r="DP76" s="26"/>
      <c r="DQ76" s="20"/>
      <c r="DR76" s="26"/>
      <c r="DS76" s="20"/>
      <c r="DU76" s="26"/>
      <c r="DV76" s="20"/>
    </row>
    <row r="77" spans="1:126">
      <c r="A77" s="1" t="s">
        <v>33</v>
      </c>
      <c r="B77" s="9">
        <f>B5/B35</f>
        <v>2.7758148452478775</v>
      </c>
      <c r="D77" s="48">
        <f>D8/D35*-1</f>
        <v>3.5381105398457584</v>
      </c>
      <c r="F77" s="9">
        <f>F5/F35</f>
        <v>6.9700199866755499</v>
      </c>
      <c r="I77" s="9" t="e">
        <f>I5/I35</f>
        <v>#DIV/0!</v>
      </c>
      <c r="K77" s="9">
        <f>K5/K35</f>
        <v>688</v>
      </c>
      <c r="N77" s="9">
        <f>N5/N35</f>
        <v>7.9207585506264815</v>
      </c>
      <c r="P77" s="9">
        <f>P5/P35</f>
        <v>5.1875</v>
      </c>
      <c r="R77" s="9">
        <f>R5/R35</f>
        <v>6.796153846153846</v>
      </c>
      <c r="T77" s="9">
        <f>T5/T35</f>
        <v>7.9702765928168429</v>
      </c>
      <c r="V77" s="9">
        <f>V5/V35</f>
        <v>13.468308014667365</v>
      </c>
      <c r="X77" s="9">
        <f>X5/X35</f>
        <v>8.749162479061976</v>
      </c>
      <c r="AA77" s="9">
        <f>AA5/AA35</f>
        <v>5.7361809045226133</v>
      </c>
      <c r="AC77" s="9">
        <f>AC5/AC35</f>
        <v>7.9283987915407854</v>
      </c>
      <c r="AF77" s="9">
        <f>AF5/AF35</f>
        <v>98.766666666666666</v>
      </c>
      <c r="AH77" s="9">
        <f>AH5/AH35</f>
        <v>54.443602693602692</v>
      </c>
      <c r="AJ77" s="9">
        <f>AJ5/AJ35</f>
        <v>95.508230452674894</v>
      </c>
      <c r="AL77" s="9">
        <f>AL5/AL35</f>
        <v>57.929949238578679</v>
      </c>
      <c r="AO77" s="9">
        <f>AO5/AO35</f>
        <v>15.036655669965677</v>
      </c>
      <c r="AQ77" s="9">
        <f>AQ5/AQ35</f>
        <v>12.970339707844412</v>
      </c>
      <c r="AS77" s="9">
        <f>AS5/AS35</f>
        <v>14.447285552336567</v>
      </c>
      <c r="AU77" s="9">
        <f>AU5/AU35</f>
        <v>27.893280632411066</v>
      </c>
      <c r="AW77" s="9">
        <f>AW5/AW35</f>
        <v>27.893280632411066</v>
      </c>
      <c r="AY77" s="9">
        <f>AY5/AY35</f>
        <v>27.893280632411066</v>
      </c>
      <c r="BA77" s="9">
        <f>BA5/BA35</f>
        <v>22.902147971360382</v>
      </c>
      <c r="BC77" s="9">
        <f>BC5/BC35</f>
        <v>10.713037508581413</v>
      </c>
      <c r="BF77" s="9">
        <f>BF5/BF35</f>
        <v>43.760869565217391</v>
      </c>
      <c r="BI77" s="9">
        <f>BI5/BI35</f>
        <v>3.3949452597251337</v>
      </c>
      <c r="BK77" s="9">
        <f>BK5/BK35</f>
        <v>10.641963872163039</v>
      </c>
      <c r="BN77" s="9">
        <f>BN5/BN35</f>
        <v>19.755744680851063</v>
      </c>
      <c r="BP77" s="9">
        <f>BP5/BP35</f>
        <v>15.9032</v>
      </c>
      <c r="BR77" s="9">
        <f>BR5/BR35</f>
        <v>2.7079583135954524</v>
      </c>
      <c r="BU77" s="9">
        <f>BU5/BU35</f>
        <v>10.994750656167978</v>
      </c>
      <c r="BW77" s="9">
        <f>BW5/BW35</f>
        <v>12.648463296926593</v>
      </c>
      <c r="BZ77" s="9">
        <f>BZ5/BZ35</f>
        <v>3.7729756582215597</v>
      </c>
      <c r="CC77" s="9">
        <f>CC5/CC35</f>
        <v>9.972570065593322</v>
      </c>
      <c r="CE77" s="9">
        <f>CE5/CE35</f>
        <v>7.7006289308176097</v>
      </c>
      <c r="CH77" s="9">
        <f>CH5/CH35</f>
        <v>6.8756151188357242</v>
      </c>
      <c r="CJ77" s="9">
        <f>CJ5/CJ35</f>
        <v>6.7195368626630394</v>
      </c>
      <c r="CL77" s="26">
        <v>6.72</v>
      </c>
      <c r="CM77" s="20"/>
      <c r="CN77" s="9" t="e">
        <f>CN5/CN35</f>
        <v>#DIV/0!</v>
      </c>
      <c r="CP77" s="9" t="e">
        <f>CP5/CP35</f>
        <v>#DIV/0!</v>
      </c>
      <c r="CR77" s="9" t="e">
        <f>CR5/CR35</f>
        <v>#DIV/0!</v>
      </c>
      <c r="CT77" s="9" t="e">
        <f>CT5/CT35</f>
        <v>#DIV/0!</v>
      </c>
      <c r="CV77" s="9" t="e">
        <f>CV5/CV35</f>
        <v>#DIV/0!</v>
      </c>
      <c r="CX77" s="9" t="e">
        <f>CX5/CX35</f>
        <v>#DIV/0!</v>
      </c>
      <c r="CZ77" s="9" t="e">
        <f>CZ5/CZ35</f>
        <v>#DIV/0!</v>
      </c>
      <c r="DB77" s="9" t="e">
        <f>DB5/DB35</f>
        <v>#DIV/0!</v>
      </c>
      <c r="DD77" s="9" t="e">
        <f>DD5/DD35</f>
        <v>#DIV/0!</v>
      </c>
      <c r="DF77" s="9" t="e">
        <f>DF5/DF35</f>
        <v>#DIV/0!</v>
      </c>
      <c r="DI77" s="9">
        <f>DI5/DI35</f>
        <v>8.9194701063273492</v>
      </c>
      <c r="DK77" s="26">
        <v>6.72</v>
      </c>
      <c r="DL77" s="20"/>
      <c r="DM77" s="26">
        <v>6.72</v>
      </c>
      <c r="DN77" s="20"/>
      <c r="DP77" s="26">
        <v>6.72</v>
      </c>
      <c r="DQ77" s="20"/>
      <c r="DR77" s="26">
        <v>6.72</v>
      </c>
      <c r="DS77" s="20"/>
      <c r="DU77" s="26">
        <v>6.72</v>
      </c>
      <c r="DV77" s="20"/>
    </row>
    <row r="78" spans="1:126">
      <c r="A78" s="1" t="s">
        <v>112</v>
      </c>
      <c r="B78" s="1">
        <f>B36/(B5/365)</f>
        <v>95.171197395036756</v>
      </c>
      <c r="D78" s="17">
        <f>(D36/120*100)/(D5/365)</f>
        <v>59.537011412456181</v>
      </c>
      <c r="F78" s="17">
        <f>(F36/120*100)/(F5/365)</f>
        <v>88.281598483400231</v>
      </c>
      <c r="I78" s="17">
        <f>(I36/120*100)/(I5/365)</f>
        <v>69.914015264149086</v>
      </c>
      <c r="K78" s="1">
        <f>K36/(K5/365)</f>
        <v>82.496366279069761</v>
      </c>
      <c r="N78" s="17">
        <f>(N36/120*100)/(N5/365)</f>
        <v>57.270200940572906</v>
      </c>
      <c r="P78" s="17">
        <f>(P36/120*100)/(P5/365)</f>
        <v>63.056128797305092</v>
      </c>
      <c r="R78" s="17">
        <f>(R36/120*100)/(R5/365)</f>
        <v>62.45142425957367</v>
      </c>
      <c r="T78" s="17">
        <f>(T36/120*100)/(T5/365)</f>
        <v>52.000316528545113</v>
      </c>
      <c r="V78" s="17">
        <f>(V36/120*100)/(V5/365)</f>
        <v>93.210266682224201</v>
      </c>
      <c r="X78" s="17">
        <f>(X36/120*100)/(X5/365)</f>
        <v>39.69685819812058</v>
      </c>
      <c r="AA78" s="17">
        <f>(AA36/120*100)/(AA5/365)</f>
        <v>58.796562454372904</v>
      </c>
      <c r="AC78" s="17">
        <f>(AC36/120*100)/(AC5/365)</f>
        <v>39.167799243819523</v>
      </c>
      <c r="AF78" s="17">
        <f>(AF36/120*100)/(AF5/365)</f>
        <v>64.412569842876962</v>
      </c>
      <c r="AH78" s="1">
        <f>AH36/(AH5/365)</f>
        <v>60.444889376768344</v>
      </c>
      <c r="AJ78" s="17">
        <f>(AJ36/120*100)/(AJ5/365)</f>
        <v>70.404521331983261</v>
      </c>
      <c r="AL78" s="17">
        <f>(AL36/120*100)/(AL5/365)</f>
        <v>51.386527867837337</v>
      </c>
      <c r="AO78" s="17">
        <f>(AO36/120*100)/(AO5/365)</f>
        <v>42.896846063211704</v>
      </c>
      <c r="AQ78" s="17">
        <f>(AQ36/120*100)/(AQ5/365)</f>
        <v>31.954925145594192</v>
      </c>
      <c r="AS78" s="17">
        <f>(AS36/120*100)/(AS5/365)</f>
        <v>76.613817275081303</v>
      </c>
      <c r="AU78" s="17">
        <f>(AU36/120*100)/(AU5/365)</f>
        <v>31.895045108875347</v>
      </c>
      <c r="AW78" s="17">
        <f>(AW36/120*100)/(AW5/365)</f>
        <v>31.895045108875347</v>
      </c>
      <c r="AY78" s="17">
        <f>(AY36/120*100)/(AY5/365)</f>
        <v>31.895045108875347</v>
      </c>
      <c r="BA78" s="17">
        <f>(BA36/120*100)/(BA5/365)</f>
        <v>109.35546060858691</v>
      </c>
      <c r="BC78" s="17">
        <f>(BC36/120*100)/(BC5/365)</f>
        <v>30.095055003738118</v>
      </c>
      <c r="BF78" s="1">
        <f>BF36/(BF5/365)</f>
        <v>23.148700115913229</v>
      </c>
      <c r="BI78" s="17">
        <f>(BI36/120*100)/(BI5/365)</f>
        <v>22.841978569876613</v>
      </c>
      <c r="BK78" s="17">
        <f>(BK36/120*100)/(BK5/365)</f>
        <v>43.064683437790165</v>
      </c>
      <c r="BN78" s="17">
        <f>(BN36/120*100)/(BN5/365)</f>
        <v>27.084500064618968</v>
      </c>
      <c r="BP78" s="17">
        <f>(BP36/120*100)/(BP5/365)</f>
        <v>1.4918381206298104</v>
      </c>
      <c r="BR78" s="17">
        <f>(BR36/120*100)/(BR5/365)</f>
        <v>66.085017055890845</v>
      </c>
      <c r="BU78" s="17">
        <f>(BU36/120*100)/(BU5/365)</f>
        <v>40.28579540933324</v>
      </c>
      <c r="BW78" s="17">
        <f>(BW36/120*100)/(BW5/365)</f>
        <v>29.508387386120987</v>
      </c>
      <c r="BZ78" s="17">
        <f>(BZ36/120*100)/(BZ5/365)</f>
        <v>54.886164143076584</v>
      </c>
      <c r="CC78" s="17">
        <f>(CC36/120*100)/(CC5/365)</f>
        <v>14.822759706609265</v>
      </c>
      <c r="CE78" s="17">
        <f>(CE36/120*100)/(CE5/365)</f>
        <v>7.3508955471549386</v>
      </c>
      <c r="CH78" s="1">
        <f>CH36/(CH5/365)</f>
        <v>20.626399061962267</v>
      </c>
      <c r="CJ78" s="17">
        <f>(CJ36/120*100)/(CJ5/365)</f>
        <v>74.213597784190384</v>
      </c>
      <c r="CL78" s="27">
        <v>74</v>
      </c>
      <c r="CM78" s="20"/>
      <c r="CN78" s="17">
        <f>(CN36/120*100)/(CN5/365)</f>
        <v>0</v>
      </c>
      <c r="CP78" s="17">
        <f>(CP36/120*100)/(CP5/365)</f>
        <v>0</v>
      </c>
      <c r="CR78" s="17">
        <f>(CR36/120*100)/(CR5/365)</f>
        <v>0</v>
      </c>
      <c r="CT78" s="17">
        <f>(CT36/120*100)/(CT5/365)</f>
        <v>0</v>
      </c>
      <c r="CV78" s="17">
        <f>(CV36/120*100)/(CV5/365)</f>
        <v>0</v>
      </c>
      <c r="CX78" s="17">
        <f>(CX36/120*100)/(CX5/365)</f>
        <v>0</v>
      </c>
      <c r="CZ78" s="17">
        <f>(CZ36/120*100)/(CZ5/365)</f>
        <v>0</v>
      </c>
      <c r="DB78" s="17">
        <f>(DB36/120*100)/(DB5/365)</f>
        <v>0</v>
      </c>
      <c r="DD78" s="17">
        <f>(DD36/120*100)/(DD5/365)</f>
        <v>0</v>
      </c>
      <c r="DF78" s="17">
        <f>(DF36/120*100)/(DF5/365)</f>
        <v>0</v>
      </c>
      <c r="DI78" s="17">
        <f>(DI36/120*100)/(DI5/365)</f>
        <v>27.741217356184816</v>
      </c>
      <c r="DK78" s="27">
        <v>74</v>
      </c>
      <c r="DL78" s="20"/>
      <c r="DM78" s="27">
        <v>74</v>
      </c>
      <c r="DN78" s="20"/>
      <c r="DP78" s="27">
        <v>74</v>
      </c>
      <c r="DQ78" s="20"/>
      <c r="DR78" s="27">
        <v>74</v>
      </c>
      <c r="DS78" s="20"/>
      <c r="DU78" s="27">
        <v>74</v>
      </c>
      <c r="DV78" s="20"/>
    </row>
    <row r="79" spans="1:126">
      <c r="A79" s="1" t="s">
        <v>114</v>
      </c>
      <c r="B79" s="1">
        <f>D47/D8*365*-1</f>
        <v>50.381178137431199</v>
      </c>
      <c r="D79" s="1">
        <f>F47/F8*365*-1</f>
        <v>62.495980707395503</v>
      </c>
      <c r="F79" s="1">
        <f>F47/F8*365</f>
        <v>-62.495980707395503</v>
      </c>
      <c r="I79" s="1">
        <f>I47/I8*365</f>
        <v>-62.062412482496498</v>
      </c>
      <c r="N79" s="1">
        <f>N47/N8*365</f>
        <v>-66.047037161031128</v>
      </c>
      <c r="P79" s="1">
        <f>P47/P8*365</f>
        <v>-99.735668789808912</v>
      </c>
      <c r="R79" s="1">
        <f>R47/R8*365</f>
        <v>-353.60570762958645</v>
      </c>
      <c r="T79" s="1">
        <f>T47/T8*365*-1</f>
        <v>114.44410444716443</v>
      </c>
      <c r="V79" s="1">
        <f>V47/V8*365</f>
        <v>-718.89944877399739</v>
      </c>
      <c r="X79" s="1">
        <f>X47/X8*365</f>
        <v>-105.62800565770863</v>
      </c>
      <c r="AA79" s="1">
        <f>AA47/AA8*365</f>
        <v>-76.736300417246184</v>
      </c>
      <c r="AC79" s="1">
        <f>AC47/AC8*365</f>
        <v>-29.54120850711799</v>
      </c>
      <c r="AF79" s="1">
        <f>AF47/AF8*365*-1</f>
        <v>193.81314538600228</v>
      </c>
      <c r="AJ79" s="1">
        <f>AJ47/AJ8*365</f>
        <v>-176.28669244912192</v>
      </c>
      <c r="AL79" s="1" t="e">
        <f>AL47/AL8*365*-1</f>
        <v>#DIV/0!</v>
      </c>
      <c r="AO79" s="1">
        <f>AO47/AO8*365*-1</f>
        <v>72.296544067169336</v>
      </c>
      <c r="AQ79" s="1">
        <f>AQ47/AQ8*365*-1</f>
        <v>57.693907511622221</v>
      </c>
      <c r="AS79" s="1">
        <f>AS47/AS8*365*-1</f>
        <v>95.439917477549045</v>
      </c>
      <c r="AU79" s="1" t="e">
        <f>AU47/AU8*365</f>
        <v>#DIV/0!</v>
      </c>
      <c r="AW79" s="1" t="e">
        <f>AW47/AW8*365</f>
        <v>#DIV/0!</v>
      </c>
      <c r="AY79" s="1" t="e">
        <f>AY47/AY8*365</f>
        <v>#DIV/0!</v>
      </c>
      <c r="BA79" s="1">
        <f>BA47/BA8*365*-1</f>
        <v>681.47049071618039</v>
      </c>
      <c r="BC79" s="1">
        <f>BC47/BC8*365*-1</f>
        <v>65.432821442275511</v>
      </c>
      <c r="BI79" s="1">
        <f>BI47/BI8*365*-1</f>
        <v>120.08155146693187</v>
      </c>
      <c r="BK79" s="1">
        <f>BK47/BK8*365*-1</f>
        <v>184.98788245986063</v>
      </c>
      <c r="BN79" s="1">
        <f>BN47/BN8*365</f>
        <v>-289.7997223874678</v>
      </c>
      <c r="BP79" s="1">
        <f>BP47/BP8*365</f>
        <v>-317.2417462151152</v>
      </c>
      <c r="BR79" s="1">
        <f>BR47/BR8*365</f>
        <v>-263.74720357941834</v>
      </c>
      <c r="BU79" s="1">
        <f>BU47/BU8*365*-1</f>
        <v>121.93219845773316</v>
      </c>
      <c r="BW79" s="1">
        <f>BW47/BW8*365*-1</f>
        <v>146.46178833988716</v>
      </c>
      <c r="BZ79" s="1">
        <f>BZ47/BZ8*365</f>
        <v>-642.16636473429946</v>
      </c>
      <c r="CC79" s="1">
        <f>CC47/CC8*365*-1</f>
        <v>178.82370239670638</v>
      </c>
      <c r="CE79" s="1">
        <f>CE47/CE8*365*-1</f>
        <v>33.839402996440064</v>
      </c>
      <c r="CH79" s="1">
        <f>CH47/CH8*365*-1</f>
        <v>40.758827064501538</v>
      </c>
      <c r="CJ79" s="1">
        <f>CJ47/CJ8*365</f>
        <v>-40.013331809697938</v>
      </c>
      <c r="CL79" s="1">
        <f>CL47/CL8*365*-1</f>
        <v>44.886401026585943</v>
      </c>
      <c r="CN79" s="1">
        <f>CN47/CN8*365*-1</f>
        <v>0</v>
      </c>
      <c r="CP79" s="1">
        <f>CP47/CP8*365*-1</f>
        <v>0</v>
      </c>
      <c r="CR79" s="1" t="e">
        <f>CR47/CR8*365</f>
        <v>#DIV/0!</v>
      </c>
      <c r="CT79" s="1" t="e">
        <f>CT47/CT8*365</f>
        <v>#DIV/0!</v>
      </c>
      <c r="CV79" s="1" t="e">
        <f>CV47/CV8*365</f>
        <v>#DIV/0!</v>
      </c>
      <c r="CX79" s="1" t="e">
        <f>CX47/CX8*365</f>
        <v>#DIV/0!</v>
      </c>
      <c r="CZ79" s="1" t="e">
        <f>CZ47/CZ8*365</f>
        <v>#DIV/0!</v>
      </c>
      <c r="DB79" s="1" t="e">
        <f>DB47/DB8*365</f>
        <v>#DIV/0!</v>
      </c>
      <c r="DD79" s="1" t="e">
        <f>DD47/DD8*365</f>
        <v>#DIV/0!</v>
      </c>
      <c r="DF79" s="1" t="e">
        <f>DF47/DF8*365</f>
        <v>#DIV/0!</v>
      </c>
      <c r="DI79" s="1">
        <f>DI47/DI8*365*-1</f>
        <v>324.82254476109756</v>
      </c>
      <c r="DK79" s="1">
        <f>DK47/DK8*365</f>
        <v>-40.013331809697938</v>
      </c>
      <c r="DM79" s="1">
        <f>DM47/DM8*365</f>
        <v>-40.013331809697938</v>
      </c>
      <c r="DP79" s="1">
        <f>DP47/DP8*365</f>
        <v>-40.013331809697938</v>
      </c>
      <c r="DR79" s="1">
        <f>DR47/DR8*365</f>
        <v>-40.013331809697938</v>
      </c>
      <c r="DU79" s="1">
        <f>DU47/DU8*365</f>
        <v>-40.013331809697938</v>
      </c>
    </row>
    <row r="80" spans="1:126">
      <c r="A80" s="32" t="s">
        <v>115</v>
      </c>
    </row>
    <row r="81" spans="1:126">
      <c r="A81" s="34" t="s">
        <v>116</v>
      </c>
      <c r="B81" s="35"/>
      <c r="D81" s="35">
        <v>5.3</v>
      </c>
      <c r="F81" s="36">
        <v>1.21</v>
      </c>
      <c r="I81" s="36">
        <v>2.79</v>
      </c>
      <c r="N81" s="36">
        <v>14.27</v>
      </c>
      <c r="P81" s="36">
        <v>2.78</v>
      </c>
      <c r="R81" s="36">
        <v>112.5</v>
      </c>
      <c r="T81" s="36">
        <v>3.76</v>
      </c>
      <c r="V81" s="36">
        <v>2.04</v>
      </c>
      <c r="X81" s="36">
        <v>9.4</v>
      </c>
      <c r="AF81" s="9">
        <v>0.87</v>
      </c>
      <c r="AL81" s="36">
        <v>1.01</v>
      </c>
      <c r="AO81" s="36">
        <v>2.6</v>
      </c>
      <c r="AQ81" s="36">
        <v>123.87</v>
      </c>
      <c r="AS81" s="36">
        <v>1.42</v>
      </c>
      <c r="BA81" s="35">
        <v>64.8</v>
      </c>
      <c r="BC81" s="36">
        <v>3.73</v>
      </c>
      <c r="BI81" s="36">
        <v>6.87</v>
      </c>
      <c r="BK81" s="36">
        <v>5.13</v>
      </c>
      <c r="BU81" s="36">
        <v>3.14</v>
      </c>
      <c r="BW81" s="36">
        <v>1.71</v>
      </c>
      <c r="CC81" s="36">
        <v>3.81</v>
      </c>
      <c r="CE81" s="36">
        <v>10.36</v>
      </c>
      <c r="CH81" s="36">
        <v>18.63</v>
      </c>
      <c r="CL81" s="36">
        <v>8.1</v>
      </c>
      <c r="CN81" s="36">
        <v>3.69</v>
      </c>
      <c r="CP81" s="36">
        <v>0.84</v>
      </c>
      <c r="DI81" s="1">
        <v>198.4</v>
      </c>
    </row>
    <row r="82" spans="1:126">
      <c r="A82" s="1" t="s">
        <v>117</v>
      </c>
      <c r="B82" s="9" t="e">
        <f>B94/B81</f>
        <v>#DIV/0!</v>
      </c>
      <c r="D82" s="9">
        <f>D94/D81</f>
        <v>16.803773584905663</v>
      </c>
      <c r="F82" s="9">
        <f>F94/F81</f>
        <v>21.950413223140494</v>
      </c>
      <c r="I82" s="9">
        <f>I94/I81</f>
        <v>22.333333333333332</v>
      </c>
      <c r="K82" s="9"/>
      <c r="N82" s="9">
        <f>N94/N81</f>
        <v>17.337070777855644</v>
      </c>
      <c r="P82" s="9">
        <f>P94/P81</f>
        <v>27.53237410071943</v>
      </c>
      <c r="R82" s="9">
        <f>R94/R81</f>
        <v>0.14328888888888891</v>
      </c>
      <c r="T82" s="9">
        <f>T94/T81</f>
        <v>18.936170212765958</v>
      </c>
      <c r="V82" s="9">
        <f>V94/V81</f>
        <v>17.522058823529409</v>
      </c>
      <c r="X82" s="9">
        <f>X94/X81</f>
        <v>21.148936170212767</v>
      </c>
      <c r="AA82" s="9" t="e">
        <f>AA94/AA81</f>
        <v>#DIV/0!</v>
      </c>
      <c r="AC82" s="9" t="e">
        <f>AC94/AC81</f>
        <v>#DIV/0!</v>
      </c>
      <c r="AF82" s="9">
        <f>AF94/AF81</f>
        <v>214.48275862068965</v>
      </c>
      <c r="AH82" s="9"/>
      <c r="AJ82" s="9" t="e">
        <f>AJ94/AJ81</f>
        <v>#DIV/0!</v>
      </c>
      <c r="AL82" s="9">
        <f>AL94/AL81</f>
        <v>11.722772277227723</v>
      </c>
      <c r="AO82" s="9">
        <f>AO94/AO81</f>
        <v>27.411538461538459</v>
      </c>
      <c r="AQ82" s="9">
        <f>AQ94/AQ81</f>
        <v>17.461855170743522</v>
      </c>
      <c r="AS82" s="9">
        <f>AS94/AS81</f>
        <v>12.67605633802817</v>
      </c>
      <c r="AU82" s="9" t="e">
        <f>AU94/AU81</f>
        <v>#DIV/0!</v>
      </c>
      <c r="AW82" s="9" t="e">
        <f>AW94/AW81</f>
        <v>#DIV/0!</v>
      </c>
      <c r="AY82" s="9" t="e">
        <f>AY94/AY81</f>
        <v>#DIV/0!</v>
      </c>
      <c r="BA82" s="9">
        <f>BA94/BA81</f>
        <v>0.20030864197530865</v>
      </c>
      <c r="BC82" s="9">
        <f>BC94/BC81</f>
        <v>11.938337801608579</v>
      </c>
      <c r="BF82" s="9"/>
      <c r="BI82" s="9">
        <f>BI94/BI81</f>
        <v>19.301310043668121</v>
      </c>
      <c r="BK82" s="9">
        <f>BK94/BK81</f>
        <v>24.892787524366472</v>
      </c>
      <c r="BN82" s="9" t="e">
        <f>BN94/BN81</f>
        <v>#DIV/0!</v>
      </c>
      <c r="BP82" s="9" t="e">
        <f>BP94/BP81</f>
        <v>#DIV/0!</v>
      </c>
      <c r="BR82" s="9" t="e">
        <f>BR94/BR81</f>
        <v>#DIV/0!</v>
      </c>
      <c r="BU82" s="9">
        <f>BU94/BU81</f>
        <v>20.566878980891719</v>
      </c>
      <c r="BW82" s="9">
        <f>BW94/BW81</f>
        <v>37.403508771929829</v>
      </c>
      <c r="BZ82" s="9" t="e">
        <f>BZ94/BZ81</f>
        <v>#DIV/0!</v>
      </c>
      <c r="CC82" s="9">
        <f>CC94/CC81</f>
        <v>29.055118110236222</v>
      </c>
      <c r="CE82" s="9">
        <f>CE94/CE81</f>
        <v>26.833976833976834</v>
      </c>
      <c r="CH82" s="9">
        <f>CH94/CH81</f>
        <v>10.958132045088568</v>
      </c>
      <c r="CJ82" s="9" t="e">
        <f>CJ94/CJ81</f>
        <v>#DIV/0!</v>
      </c>
      <c r="CL82" s="9">
        <f>CL94/CL81</f>
        <v>10.520987654320988</v>
      </c>
      <c r="CM82" s="20"/>
      <c r="CN82" s="9">
        <f>CN94/CN81</f>
        <v>15.35230352303523</v>
      </c>
      <c r="CP82" s="9">
        <f>CP94/CP81</f>
        <v>13.083333333333334</v>
      </c>
      <c r="CR82" s="9" t="e">
        <f>CR94/CR81</f>
        <v>#DIV/0!</v>
      </c>
      <c r="CT82" s="9" t="e">
        <f>CT94/CT81</f>
        <v>#DIV/0!</v>
      </c>
      <c r="CV82" s="9" t="e">
        <f>CV94/CV81</f>
        <v>#DIV/0!</v>
      </c>
      <c r="CX82" s="9" t="e">
        <f>CX94/CX81</f>
        <v>#DIV/0!</v>
      </c>
      <c r="CZ82" s="9" t="e">
        <f>CZ94/CZ81</f>
        <v>#DIV/0!</v>
      </c>
      <c r="DB82" s="9" t="e">
        <f>DB94/DB81</f>
        <v>#DIV/0!</v>
      </c>
      <c r="DD82" s="9" t="e">
        <f>DD94/DD81</f>
        <v>#DIV/0!</v>
      </c>
      <c r="DF82" s="9" t="e">
        <f>DF94/DF81</f>
        <v>#DIV/0!</v>
      </c>
      <c r="DI82" s="9">
        <f>DI94/DI81</f>
        <v>0.28442540322580645</v>
      </c>
      <c r="DK82" s="9" t="e">
        <f>DK94/DK81</f>
        <v>#DIV/0!</v>
      </c>
      <c r="DL82" s="20"/>
      <c r="DM82" s="9" t="e">
        <f>DM94/DM81</f>
        <v>#DIV/0!</v>
      </c>
      <c r="DN82" s="20"/>
      <c r="DP82" s="26"/>
      <c r="DQ82" s="20"/>
      <c r="DR82" s="26"/>
      <c r="DS82" s="20"/>
      <c r="DU82" s="26"/>
      <c r="DV82" s="20"/>
    </row>
    <row r="83" spans="1:126">
      <c r="A83" s="1" t="s">
        <v>118</v>
      </c>
      <c r="B83" s="9" t="e">
        <f>B81/B96</f>
        <v>#DIV/0!</v>
      </c>
      <c r="D83" s="9">
        <f>D81/D96</f>
        <v>1.7666666666666666</v>
      </c>
      <c r="F83" s="9">
        <f>F81/F96</f>
        <v>1.5512820512820511</v>
      </c>
      <c r="I83" s="9">
        <f>I81/I96</f>
        <v>2.79</v>
      </c>
      <c r="K83" s="9"/>
      <c r="N83" s="9">
        <f>N81/N96</f>
        <v>1.8294871794871794</v>
      </c>
      <c r="P83" s="9">
        <f>P81/P96</f>
        <v>0.99285714285714288</v>
      </c>
      <c r="R83" s="9">
        <f>R81/R96</f>
        <v>1.4423076923076923</v>
      </c>
      <c r="T83" s="9">
        <f>T81/T96</f>
        <v>1.5346938775510202</v>
      </c>
      <c r="V83" s="9">
        <f>V81/V96</f>
        <v>0.72857142857142865</v>
      </c>
      <c r="X83" s="9">
        <f>X81/X96</f>
        <v>2.088888888888889</v>
      </c>
      <c r="AA83" s="9" t="e">
        <f>AA81/AA96</f>
        <v>#DIV/0!</v>
      </c>
      <c r="AC83" s="9" t="e">
        <f>AC81/AC96</f>
        <v>#DIV/0!</v>
      </c>
      <c r="AF83" s="9">
        <f>AF81/AF96</f>
        <v>8.5377821393523068E-2</v>
      </c>
      <c r="AH83" s="9"/>
      <c r="AJ83" s="9" t="e">
        <f>AJ81/AJ96</f>
        <v>#DIV/0!</v>
      </c>
      <c r="AL83" s="9">
        <f>AL81/AL96</f>
        <v>2.8857142857142861</v>
      </c>
      <c r="AO83" s="9">
        <f>AO81/AO96</f>
        <v>1.4444444444444444</v>
      </c>
      <c r="AQ83" s="9">
        <f>AQ81/AQ96</f>
        <v>5.2935897435897443</v>
      </c>
      <c r="AS83" s="9">
        <f>AS81/AS96</f>
        <v>1.2909090909090908</v>
      </c>
      <c r="AU83" s="9" t="e">
        <f>AU81/AU96</f>
        <v>#DIV/0!</v>
      </c>
      <c r="AW83" s="9" t="e">
        <f>AW81/AW96</f>
        <v>#DIV/0!</v>
      </c>
      <c r="AY83" s="9" t="e">
        <f>AY81/AY96</f>
        <v>#DIV/0!</v>
      </c>
      <c r="BA83" s="9">
        <f>BA81/BA96</f>
        <v>359.60044395116535</v>
      </c>
      <c r="BC83" s="9">
        <f>BC81/BC96</f>
        <v>1.5672268907563025</v>
      </c>
      <c r="BF83" s="9"/>
      <c r="BI83" s="9">
        <f>BI81/BI96</f>
        <v>2.29</v>
      </c>
      <c r="BK83" s="9">
        <f>BK81/BK96</f>
        <v>2.052</v>
      </c>
      <c r="BN83" s="9" t="e">
        <f>BN81/BN96</f>
        <v>#DIV/0!</v>
      </c>
      <c r="BP83" s="9" t="e">
        <f>BP81/BP96</f>
        <v>#DIV/0!</v>
      </c>
      <c r="BR83" s="9" t="e">
        <f>BR81/BR96</f>
        <v>#DIV/0!</v>
      </c>
      <c r="BU83" s="9">
        <f>BU81/BU96</f>
        <v>1.4604651162790698</v>
      </c>
      <c r="BW83" s="9">
        <f>BW81/BW96</f>
        <v>1.6285714285714286</v>
      </c>
      <c r="BZ83" s="9" t="e">
        <f>BZ81/BZ96</f>
        <v>#DIV/0!</v>
      </c>
      <c r="CC83" s="9">
        <f>CC81/CC96</f>
        <v>1.5743801652892562</v>
      </c>
      <c r="CE83" s="9">
        <f>CE81/CE96</f>
        <v>1.0905263157894736</v>
      </c>
      <c r="CH83" s="9">
        <f>CH81/CH96</f>
        <v>4.6574999999999998</v>
      </c>
      <c r="CJ83" s="9" t="e">
        <f>CJ81/CJ96</f>
        <v>#DIV/0!</v>
      </c>
      <c r="CL83" s="9">
        <f>CL81/CL96</f>
        <v>3.0916030534351142</v>
      </c>
      <c r="CM83" s="20"/>
      <c r="CN83" s="9">
        <f>CN81/CN96</f>
        <v>2.46</v>
      </c>
      <c r="CP83" s="9">
        <f>CP81/CP96</f>
        <v>1.75</v>
      </c>
      <c r="CR83" s="9" t="e">
        <f>CR81/CR96</f>
        <v>#DIV/0!</v>
      </c>
      <c r="CT83" s="9" t="e">
        <f>CT81/CT96</f>
        <v>#DIV/0!</v>
      </c>
      <c r="CV83" s="9" t="e">
        <f>CV81/CV96</f>
        <v>#DIV/0!</v>
      </c>
      <c r="CX83" s="9" t="e">
        <f>CX81/CX96</f>
        <v>#DIV/0!</v>
      </c>
      <c r="CZ83" s="9" t="e">
        <f>CZ81/CZ96</f>
        <v>#DIV/0!</v>
      </c>
      <c r="DB83" s="9" t="e">
        <f>DB81/DB96</f>
        <v>#DIV/0!</v>
      </c>
      <c r="DD83" s="9" t="e">
        <f>DD81/DD96</f>
        <v>#DIV/0!</v>
      </c>
      <c r="DF83" s="9" t="e">
        <f>DF81/DF96</f>
        <v>#DIV/0!</v>
      </c>
      <c r="DI83" s="9">
        <f>DI81/DI96</f>
        <v>118.80239520958085</v>
      </c>
      <c r="DK83" s="9" t="e">
        <f>DK81/DK96</f>
        <v>#DIV/0!</v>
      </c>
      <c r="DL83" s="20"/>
      <c r="DM83" s="9" t="e">
        <f>DM81/DM96</f>
        <v>#DIV/0!</v>
      </c>
      <c r="DN83" s="20"/>
      <c r="DP83" s="26"/>
      <c r="DQ83" s="20"/>
      <c r="DR83" s="26"/>
      <c r="DS83" s="20"/>
      <c r="DU83" s="26"/>
      <c r="DV83" s="20"/>
    </row>
    <row r="84" spans="1:126">
      <c r="A84" s="1" t="s">
        <v>119</v>
      </c>
      <c r="B84" s="3" t="e">
        <f>B96/B94</f>
        <v>#DIV/0!</v>
      </c>
      <c r="D84" s="3">
        <f>D96/D94</f>
        <v>3.368515607455648E-2</v>
      </c>
      <c r="F84" s="3">
        <f>F96/F94</f>
        <v>2.9367469879518073E-2</v>
      </c>
      <c r="I84" s="3">
        <f>I96/I94</f>
        <v>1.6048788316482106E-2</v>
      </c>
      <c r="K84" s="9"/>
      <c r="N84" s="3">
        <f>N96/N94</f>
        <v>3.1527890056588521E-2</v>
      </c>
      <c r="P84" s="3">
        <f>P96/P94</f>
        <v>3.6582179252678336E-2</v>
      </c>
      <c r="R84" s="3">
        <f>R96/R94</f>
        <v>4.838709677419355</v>
      </c>
      <c r="T84" s="3">
        <f>T96/T94</f>
        <v>3.4410112359550563E-2</v>
      </c>
      <c r="V84" s="3">
        <f>V96/V94</f>
        <v>7.8332633934816057E-2</v>
      </c>
      <c r="X84" s="3">
        <f>X96/X94</f>
        <v>2.2635814889336015E-2</v>
      </c>
      <c r="AA84" s="3" t="e">
        <f>AA96/AA94</f>
        <v>#DIV/0!</v>
      </c>
      <c r="AC84" s="3" t="e">
        <f>AC96/AC94</f>
        <v>#DIV/0!</v>
      </c>
      <c r="AF84" s="3">
        <f>AF96/AF94</f>
        <v>5.4608788853161845E-2</v>
      </c>
      <c r="AH84" s="9"/>
      <c r="AJ84" s="3" t="e">
        <f>AJ96/AJ94</f>
        <v>#DIV/0!</v>
      </c>
      <c r="AL84" s="3">
        <f>AL96/AL94</f>
        <v>2.9560810810810811E-2</v>
      </c>
      <c r="AO84" s="3">
        <f>AO96/AO94</f>
        <v>2.5256068472007859E-2</v>
      </c>
      <c r="AQ84" s="3">
        <f>AQ96/AQ94</f>
        <v>1.0818307905686546E-2</v>
      </c>
      <c r="AS84" s="3">
        <f>AS96/AS94</f>
        <v>6.1111111111111116E-2</v>
      </c>
      <c r="AU84" s="3" t="e">
        <f>AU96/AU94</f>
        <v>#DIV/0!</v>
      </c>
      <c r="AW84" s="3" t="e">
        <f>AW96/AW94</f>
        <v>#DIV/0!</v>
      </c>
      <c r="AY84" s="3" t="e">
        <f>AY96/AY94</f>
        <v>#DIV/0!</v>
      </c>
      <c r="BA84" s="3">
        <f>BA96/BA94</f>
        <v>1.3882896764252696E-2</v>
      </c>
      <c r="BC84" s="3">
        <f>BC96/BC94</f>
        <v>5.3447114304962941E-2</v>
      </c>
      <c r="BF84" s="9"/>
      <c r="BI84" s="3">
        <f>BI96/BI94</f>
        <v>2.2624434389140271E-2</v>
      </c>
      <c r="BK84" s="3">
        <f>BK96/BK94</f>
        <v>1.9577133907595929E-2</v>
      </c>
      <c r="BN84" s="3" t="e">
        <f>BN96/BN94</f>
        <v>#DIV/0!</v>
      </c>
      <c r="BP84" s="3" t="e">
        <f>BP96/BP94</f>
        <v>#DIV/0!</v>
      </c>
      <c r="BR84" s="3" t="e">
        <f>BR96/BR94</f>
        <v>#DIV/0!</v>
      </c>
      <c r="BU84" s="3">
        <f>BU96/BU94</f>
        <v>3.3292040879529264E-2</v>
      </c>
      <c r="BW84" s="3">
        <f>BW96/BW94</f>
        <v>1.6416510318949345E-2</v>
      </c>
      <c r="BZ84" s="3" t="e">
        <f>BZ96/BZ94</f>
        <v>#DIV/0!</v>
      </c>
      <c r="CC84" s="3">
        <f>CC96/CC94</f>
        <v>2.186088527551942E-2</v>
      </c>
      <c r="CE84" s="3">
        <f>CE96/CE94</f>
        <v>3.41726618705036E-2</v>
      </c>
      <c r="CH84" s="3">
        <f>CH96/CH94</f>
        <v>1.9593436198873378E-2</v>
      </c>
      <c r="CJ84" s="3" t="e">
        <f>CJ96/CJ94</f>
        <v>#DIV/0!</v>
      </c>
      <c r="CL84" s="3">
        <f>CL96/CL94</f>
        <v>3.0743956817648441E-2</v>
      </c>
      <c r="CM84" s="20"/>
      <c r="CN84" s="3">
        <f>CN96/CN94</f>
        <v>2.6478375992939101E-2</v>
      </c>
      <c r="CP84" s="3">
        <f>CP96/CP94</f>
        <v>4.3676069153776156E-2</v>
      </c>
      <c r="CR84" s="3" t="e">
        <f>CR96/CR94</f>
        <v>#DIV/0!</v>
      </c>
      <c r="CT84" s="3" t="e">
        <f>CT96/CT94</f>
        <v>#DIV/0!</v>
      </c>
      <c r="CV84" s="3" t="e">
        <f>CV96/CV94</f>
        <v>#DIV/0!</v>
      </c>
      <c r="CX84" s="3" t="e">
        <f>CX96/CX94</f>
        <v>#DIV/0!</v>
      </c>
      <c r="CZ84" s="3" t="e">
        <f>CZ96/CZ94</f>
        <v>#DIV/0!</v>
      </c>
      <c r="DB84" s="3" t="e">
        <f>DB96/DB94</f>
        <v>#DIV/0!</v>
      </c>
      <c r="DD84" s="3" t="e">
        <f>DD96/DD94</f>
        <v>#DIV/0!</v>
      </c>
      <c r="DF84" s="3" t="e">
        <f>DF96/DF94</f>
        <v>#DIV/0!</v>
      </c>
      <c r="DI84" s="3">
        <f>DI96/DI94</f>
        <v>2.9594187488924329E-2</v>
      </c>
      <c r="DK84" s="3" t="e">
        <f>DK96/DK94</f>
        <v>#DIV/0!</v>
      </c>
      <c r="DL84" s="20"/>
      <c r="DM84" s="3" t="e">
        <f>DM96/DM94</f>
        <v>#DIV/0!</v>
      </c>
      <c r="DN84" s="20"/>
      <c r="DP84" s="26"/>
      <c r="DQ84" s="20"/>
      <c r="DR84" s="26"/>
      <c r="DS84" s="20"/>
      <c r="DU84" s="26"/>
      <c r="DV84" s="20"/>
    </row>
    <row r="85" spans="1:126">
      <c r="A85" s="1" t="s">
        <v>69</v>
      </c>
      <c r="B85" s="9">
        <f>B55/B61</f>
        <v>0.9071316614420063</v>
      </c>
      <c r="D85" s="9">
        <f>D55/D61</f>
        <v>0.64660262008733627</v>
      </c>
      <c r="F85" s="9">
        <f>F55/F61</f>
        <v>0.39410662224073301</v>
      </c>
      <c r="I85" s="9">
        <f>I55/I61</f>
        <v>0.23417248255234296</v>
      </c>
      <c r="K85" s="9">
        <f>K61/K55</f>
        <v>1.9795454545454545</v>
      </c>
      <c r="N85" s="9">
        <f>N55/N61</f>
        <v>0.77317452097358885</v>
      </c>
      <c r="P85" s="9">
        <f>P55/P61</f>
        <v>0.18265689128985862</v>
      </c>
      <c r="R85" s="9">
        <f>R55/R61</f>
        <v>1.978494623655914</v>
      </c>
      <c r="T85" s="9">
        <f>T55/T61</f>
        <v>0.15095606402406272</v>
      </c>
      <c r="V85" s="9">
        <f>V55/V61</f>
        <v>0.36932868877134134</v>
      </c>
      <c r="X85" s="9">
        <f>X55/X61</f>
        <v>0</v>
      </c>
      <c r="AA85" s="9">
        <f>AA55/AA61</f>
        <v>0.41487208759275596</v>
      </c>
      <c r="AC85" s="9">
        <f>AC55/AC61</f>
        <v>0.35316230041853974</v>
      </c>
      <c r="AF85" s="9">
        <f>AF55/AF61</f>
        <v>0.4015561196335945</v>
      </c>
      <c r="AH85" s="9">
        <f>AH61/AH55</f>
        <v>0.48775791407574903</v>
      </c>
      <c r="AJ85" s="9">
        <f>AJ55/AJ61</f>
        <v>0.36267614639011791</v>
      </c>
      <c r="AL85" s="9">
        <f>AL55/AL61</f>
        <v>1.8620187759260607</v>
      </c>
      <c r="AO85" s="9">
        <f>AO55/AO61</f>
        <v>0.19993596396316823</v>
      </c>
      <c r="AQ85" s="9">
        <f>AQ55/AQ61</f>
        <v>0.3129509918946069</v>
      </c>
      <c r="AS85" s="9">
        <f>AS55/AS61</f>
        <v>0.34193844289013742</v>
      </c>
      <c r="AU85" s="9">
        <f>AU55/AU61</f>
        <v>0.31572366364488902</v>
      </c>
      <c r="AW85" s="9">
        <f>AW55/AW61</f>
        <v>0.31572366364488902</v>
      </c>
      <c r="AY85" s="9">
        <f>AY55/AY61</f>
        <v>0.31572366364488902</v>
      </c>
      <c r="BA85" s="9">
        <f>BA55/BA61</f>
        <v>0.53360450563204009</v>
      </c>
      <c r="BC85" s="9">
        <f>BC55/BC61</f>
        <v>0.33465491923641705</v>
      </c>
      <c r="BF85" s="9">
        <f>BF61/BF55</f>
        <v>1.2245639534883721</v>
      </c>
      <c r="BI85" s="9">
        <f>BI55/BI61</f>
        <v>0.15001983912275008</v>
      </c>
      <c r="BK85" s="9">
        <f>BK55/BK61</f>
        <v>4.1515767158378236E-3</v>
      </c>
      <c r="BN85" s="9">
        <f>BN55/BN61</f>
        <v>0.58554260742898767</v>
      </c>
      <c r="BP85" s="9">
        <f>BP55/BP61</f>
        <v>0.85717743887678532</v>
      </c>
      <c r="BR85" s="9">
        <f>BR55/BR61</f>
        <v>1.0155421240902924</v>
      </c>
      <c r="BU85" s="9">
        <f>BU55/BU61</f>
        <v>0.16157096306459409</v>
      </c>
      <c r="BW85" s="9">
        <f>BW55/BW61</f>
        <v>0.50563617954775564</v>
      </c>
      <c r="BZ85" s="9">
        <f>BZ55/BZ61</f>
        <v>1.1676308008741483</v>
      </c>
      <c r="CC85" s="9">
        <f>CC55/CC61</f>
        <v>2.1554046772281495E-4</v>
      </c>
      <c r="CE85" s="9">
        <f>CE55/CE61</f>
        <v>0</v>
      </c>
      <c r="CH85" s="9">
        <f>CH61/CH55</f>
        <v>1.4636116845749956</v>
      </c>
      <c r="CJ85" s="9">
        <f>CJ55/CJ61</f>
        <v>0.77730522456461959</v>
      </c>
      <c r="CL85" s="26">
        <v>0.78</v>
      </c>
      <c r="CM85" s="20"/>
      <c r="CN85" s="9">
        <f>CN55/CN61</f>
        <v>0</v>
      </c>
      <c r="CP85" s="9">
        <f>CP55/CP61</f>
        <v>0</v>
      </c>
      <c r="CR85" s="9">
        <f>CR55/CR61</f>
        <v>3.5607048834285986</v>
      </c>
      <c r="CT85" s="9">
        <f>CT55/CT61</f>
        <v>3.5607048834285986</v>
      </c>
      <c r="CV85" s="9">
        <f>CV55/CV61</f>
        <v>3.5607048834285986</v>
      </c>
      <c r="CX85" s="9">
        <f>CX55/CX61</f>
        <v>3.5607048834285986</v>
      </c>
      <c r="CZ85" s="9">
        <f>CZ55/CZ61</f>
        <v>3.5607048834285986</v>
      </c>
      <c r="DB85" s="9">
        <f>DB55/DB61</f>
        <v>3.5607048834285986</v>
      </c>
      <c r="DD85" s="9">
        <f>DD55/DD61</f>
        <v>3.5607048834285986</v>
      </c>
      <c r="DF85" s="9">
        <f>DF55/DF61</f>
        <v>3.5607048834285986</v>
      </c>
      <c r="DI85" s="9">
        <f>DI55/DI61</f>
        <v>0.4602631677320474</v>
      </c>
      <c r="DK85" s="26">
        <v>0.78</v>
      </c>
      <c r="DL85" s="20"/>
      <c r="DM85" s="26">
        <v>0.78</v>
      </c>
      <c r="DN85" s="20"/>
      <c r="DP85" s="26">
        <v>0.78</v>
      </c>
      <c r="DQ85" s="20"/>
      <c r="DR85" s="26">
        <v>0.78</v>
      </c>
      <c r="DS85" s="20"/>
      <c r="DU85" s="26">
        <v>0.78</v>
      </c>
      <c r="DV85" s="20"/>
    </row>
    <row r="86" spans="1:126">
      <c r="A86" s="1" t="s">
        <v>70</v>
      </c>
      <c r="B86" s="31">
        <f>(B18+B16)/B16</f>
        <v>-6.3125</v>
      </c>
      <c r="D86" s="31">
        <f>(D18+D16)/D16</f>
        <v>1169.5999999999999</v>
      </c>
      <c r="F86" s="18">
        <f>(F18-F16)/F16</f>
        <v>-11.425641025641026</v>
      </c>
      <c r="I86" s="18">
        <f>(I18+I16)/I16</f>
        <v>-65.606060606060609</v>
      </c>
      <c r="N86" s="18">
        <f>(N18+N16)/N16</f>
        <v>-7.6386109476162449</v>
      </c>
      <c r="P86" s="18">
        <f>(P18+P16)/P16</f>
        <v>-8.2206759443339958</v>
      </c>
      <c r="R86" s="18">
        <f>(R18+R16)/R16</f>
        <v>-8.4150141643059495</v>
      </c>
      <c r="T86" s="18">
        <f>(T18+T16)/T16*-1</f>
        <v>12.851612903225806</v>
      </c>
      <c r="V86" s="18">
        <f>(V18+V16)/V16</f>
        <v>-6.3415730337078653</v>
      </c>
      <c r="X86" s="18">
        <f>(X18+X16)/X16</f>
        <v>32.108030592734224</v>
      </c>
      <c r="AA86" s="18">
        <f>(AA18+AA16)/AA16</f>
        <v>-3.5384615384615383</v>
      </c>
      <c r="AC86" s="18">
        <f>(AC18+AC16)/AC16</f>
        <v>-10.353970390309556</v>
      </c>
      <c r="AF86" s="18">
        <f>(AF18+AF16)/AF16*-1</f>
        <v>1.1948752528658126</v>
      </c>
      <c r="AJ86" s="18">
        <f>(AJ18+AJ16)/AJ16</f>
        <v>-5.4695121951219514</v>
      </c>
      <c r="AL86" s="18">
        <f>(AL18+AL16)/AL16*-1</f>
        <v>1.1912072575017445</v>
      </c>
      <c r="AO86" s="18">
        <f>(AO18+AO16)/AO16*-1</f>
        <v>19.457978075517662</v>
      </c>
      <c r="AQ86" s="18">
        <f>(AQ18+AQ16)/AQ16*-1</f>
        <v>18.522609819121445</v>
      </c>
      <c r="AS86" s="18">
        <f>(AS18+AS16)/AS16*-1</f>
        <v>12.839444995044598</v>
      </c>
      <c r="AU86" s="18">
        <f>(AU18+AU16)/AU16</f>
        <v>2068</v>
      </c>
      <c r="AW86" s="18">
        <f>(AW18+AW16)/AW16</f>
        <v>2068</v>
      </c>
      <c r="AY86" s="18">
        <f>(AY18+AY16)/AY16</f>
        <v>2068</v>
      </c>
      <c r="BA86" s="18">
        <f>(BA18+BA16)/BA16*-1</f>
        <v>33.114035087719301</v>
      </c>
      <c r="BC86" s="18">
        <f>(BC18+BC16)/BC16*-1</f>
        <v>31.358428805237317</v>
      </c>
      <c r="BI86" s="18">
        <f>(BI18+BI16)/BI16*-1</f>
        <v>27.653266331658291</v>
      </c>
      <c r="BK86" s="18">
        <f>(BK18+BK16)/BK16*-1</f>
        <v>92.581395348837205</v>
      </c>
      <c r="BN86" s="18">
        <f>(BN18+BN16)/BN16</f>
        <v>-5.4108843537414968</v>
      </c>
      <c r="BP86" s="18">
        <f>(BP18+BP16)/BP16</f>
        <v>-4.0548504079782415</v>
      </c>
      <c r="BR86" s="18">
        <f>(BR18+BR16)/BR16</f>
        <v>-6.8270676691729326</v>
      </c>
      <c r="BU86" s="18">
        <f>(BU18+BU16)/BU16*-1</f>
        <v>20.713153724247228</v>
      </c>
      <c r="BW86" s="18">
        <f>(BW18+BW16)/BW16*-1</f>
        <v>12.422641509433962</v>
      </c>
      <c r="BZ86" s="18">
        <f>(BZ18+BZ16)/BZ16</f>
        <v>-11.385964912280702</v>
      </c>
      <c r="CC86" s="18">
        <f>(CC18+CC16)/CC16*-1</f>
        <v>168.61111111111111</v>
      </c>
      <c r="CE86" s="18">
        <f>(CE18+CE16)/CE16</f>
        <v>63.92178770949721</v>
      </c>
      <c r="CH86" s="18">
        <f>(CH18+CH16)/CH16*-1</f>
        <v>3.3899682091133876</v>
      </c>
      <c r="CJ86" s="18">
        <f>(CJ18+CJ16)/CJ16</f>
        <v>-8.9890282131661436</v>
      </c>
      <c r="CL86" s="18">
        <f>(CL18+CL16)/CL16*-1</f>
        <v>15.800424628450106</v>
      </c>
      <c r="CM86" s="20"/>
      <c r="CN86" s="18" t="e">
        <f>(CN18+CN16)/CN16*-1</f>
        <v>#DIV/0!</v>
      </c>
      <c r="CP86" s="18" t="e">
        <f>(CP18+CP16)/CP16*-1</f>
        <v>#DIV/0!</v>
      </c>
      <c r="CR86" s="18" t="e">
        <f>(CR18+CR16)/CR16</f>
        <v>#DIV/0!</v>
      </c>
      <c r="CT86" s="18" t="e">
        <f>(CT18+CT16)/CT16</f>
        <v>#DIV/0!</v>
      </c>
      <c r="CV86" s="18" t="e">
        <f>(CV18+CV16)/CV16</f>
        <v>#DIV/0!</v>
      </c>
      <c r="CX86" s="18" t="e">
        <f>(CX18+CX16)/CX16</f>
        <v>#DIV/0!</v>
      </c>
      <c r="CZ86" s="18" t="e">
        <f>(CZ18+CZ16)/CZ16</f>
        <v>#DIV/0!</v>
      </c>
      <c r="DB86" s="18" t="e">
        <f>(DB18+DB16)/DB16</f>
        <v>#DIV/0!</v>
      </c>
      <c r="DD86" s="18" t="e">
        <f>(DD18+DD16)/DD16</f>
        <v>#DIV/0!</v>
      </c>
      <c r="DF86" s="18" t="e">
        <f>(DF18+DF16)/DF16</f>
        <v>#DIV/0!</v>
      </c>
      <c r="DI86" s="18">
        <f>(DI18+DI16)/DI16</f>
        <v>0.20467438166553212</v>
      </c>
      <c r="DK86" s="28">
        <v>-9</v>
      </c>
      <c r="DL86" s="20"/>
      <c r="DM86" s="28">
        <v>-9</v>
      </c>
      <c r="DN86" s="20"/>
      <c r="DP86" s="28">
        <v>-9</v>
      </c>
      <c r="DQ86" s="20"/>
      <c r="DR86" s="28">
        <v>-9</v>
      </c>
      <c r="DS86" s="20"/>
      <c r="DU86" s="28">
        <v>-9</v>
      </c>
      <c r="DV86" s="20"/>
    </row>
    <row r="87" spans="1:126">
      <c r="A87" s="32" t="s">
        <v>12</v>
      </c>
      <c r="D87" s="31"/>
      <c r="F87" s="18"/>
      <c r="I87" s="18"/>
      <c r="N87" s="18"/>
      <c r="P87" s="18"/>
      <c r="R87" s="18"/>
      <c r="T87" s="18"/>
      <c r="V87" s="18"/>
      <c r="X87" s="18"/>
      <c r="AA87" s="18"/>
      <c r="AC87" s="18"/>
      <c r="AF87" s="18"/>
      <c r="AJ87" s="18"/>
      <c r="AL87" s="18"/>
      <c r="AO87" s="18"/>
      <c r="AQ87" s="18"/>
      <c r="AS87" s="18"/>
      <c r="AU87" s="18"/>
      <c r="AW87" s="18"/>
      <c r="AY87" s="18"/>
      <c r="BA87" s="18"/>
      <c r="BC87" s="18"/>
      <c r="BI87" s="18"/>
      <c r="BK87" s="18"/>
      <c r="BN87" s="18"/>
      <c r="BP87" s="18"/>
      <c r="BR87" s="18"/>
      <c r="BU87" s="18"/>
      <c r="BW87" s="18"/>
      <c r="BZ87" s="18"/>
      <c r="CC87" s="18"/>
      <c r="CE87" s="18"/>
      <c r="CJ87" s="18"/>
      <c r="CL87" s="28"/>
      <c r="CM87" s="20"/>
      <c r="CN87" s="18"/>
      <c r="CP87" s="18"/>
      <c r="CR87" s="18"/>
      <c r="CT87" s="18"/>
      <c r="CV87" s="18"/>
      <c r="CX87" s="18"/>
      <c r="CZ87" s="18"/>
      <c r="DB87" s="18"/>
      <c r="DD87" s="18"/>
      <c r="DF87" s="18"/>
      <c r="DI87" s="18"/>
      <c r="DK87" s="28"/>
      <c r="DL87" s="20"/>
      <c r="DM87" s="28"/>
      <c r="DN87" s="20"/>
      <c r="DP87" s="28"/>
      <c r="DQ87" s="20"/>
      <c r="DR87" s="28"/>
      <c r="DS87" s="20"/>
      <c r="DU87" s="28"/>
      <c r="DV87" s="20"/>
    </row>
    <row r="88" spans="1:126">
      <c r="A88" s="1" t="s">
        <v>10</v>
      </c>
      <c r="B88" s="3">
        <f>B19/B18</f>
        <v>-0.14996114996114995</v>
      </c>
      <c r="D88" s="3">
        <f>D19/D18*-1</f>
        <v>0.27896628444292315</v>
      </c>
      <c r="F88" s="3">
        <f>F19/F18</f>
        <v>-0.27594687653713723</v>
      </c>
      <c r="I88" s="3">
        <f>I19/I18</f>
        <v>-0.24363057324840764</v>
      </c>
      <c r="K88" s="3">
        <f>K19/K18</f>
        <v>-1.3809523809523809</v>
      </c>
      <c r="N88" s="3">
        <f>N19/N18</f>
        <v>-0.22511412413981058</v>
      </c>
      <c r="P88" s="3">
        <f>P19/P18</f>
        <v>-0.16451056489866323</v>
      </c>
      <c r="R88" s="3">
        <f>R19/R18</f>
        <v>-0.15330224161275763</v>
      </c>
      <c r="T88" s="3">
        <f>T19/T18*-1</f>
        <v>0.1344201210992082</v>
      </c>
      <c r="V88" s="3">
        <f>V19/V18</f>
        <v>-0.21303948576675849</v>
      </c>
      <c r="X88" s="3">
        <f>X19/X18</f>
        <v>-0.22603644856940902</v>
      </c>
      <c r="AA88" s="3">
        <f>AA19/AA18</f>
        <v>-0.26494201605709189</v>
      </c>
      <c r="AC88" s="3">
        <f>AC19/AC18</f>
        <v>-0.38098624940730202</v>
      </c>
      <c r="AF88" s="3">
        <f>AF19/AF18*-1</f>
        <v>0.79324116743471584</v>
      </c>
      <c r="AH88" s="3">
        <f>AH19/AH18</f>
        <v>3.1256685636044668E-2</v>
      </c>
      <c r="AJ88" s="3">
        <f>AJ19/AJ18</f>
        <v>-0.26662477746360874</v>
      </c>
      <c r="AL88" s="3">
        <f>AL19/AL18*-1</f>
        <v>0.2087579617834395</v>
      </c>
      <c r="AO88" s="3">
        <f>AO19/AO18*-1</f>
        <v>0.5080376280066683</v>
      </c>
      <c r="AQ88" s="3">
        <f>AQ19/AQ18*-1</f>
        <v>0.21385791337149665</v>
      </c>
      <c r="AS88" s="3">
        <f>AS19/AS18*-1</f>
        <v>0.64487252936121453</v>
      </c>
      <c r="AU88" s="3">
        <f>AU19/AU18</f>
        <v>-0.66376390904692795</v>
      </c>
      <c r="AW88" s="3">
        <f>AW19/AW18</f>
        <v>-0.66376390904692795</v>
      </c>
      <c r="AY88" s="3">
        <f>AY19/AY18</f>
        <v>-0.66376390904692795</v>
      </c>
      <c r="BA88" s="3">
        <f>BA19/BA18*-1</f>
        <v>0.43301619953715609</v>
      </c>
      <c r="BC88" s="3">
        <f>BC19/BC18*-1</f>
        <v>0.56193414597137226</v>
      </c>
      <c r="BF88" s="3">
        <f>BF19/BF18</f>
        <v>-5.7277283420272065E-3</v>
      </c>
      <c r="BI88" s="3">
        <f>BI19/BI18*-1</f>
        <v>0.30778674149421253</v>
      </c>
      <c r="BK88" s="3">
        <f>BK19/BK18*-1</f>
        <v>0.26416500994035785</v>
      </c>
      <c r="BN88" s="3">
        <f>BN19/BN18</f>
        <v>-0.25488115449915111</v>
      </c>
      <c r="BP88" s="3">
        <f>BP19/BP18</f>
        <v>-0.15397722177383194</v>
      </c>
      <c r="BR88" s="3">
        <f>BR19/BR18</f>
        <v>-0.16938840858149215</v>
      </c>
      <c r="BU88" s="3">
        <f>BU19/BU18*-1</f>
        <v>0.23764688708853368</v>
      </c>
      <c r="BW88" s="3">
        <f>BW19/BW18*-1</f>
        <v>0.2601911723362384</v>
      </c>
      <c r="BZ88" s="3">
        <f>BZ19/BZ18</f>
        <v>-0.27018413597733709</v>
      </c>
      <c r="CC88" s="3">
        <f>CC19/CC18*-1</f>
        <v>0.21978381919423517</v>
      </c>
      <c r="CE88" s="3">
        <f>CE19/CE18*-1</f>
        <v>0.23856876498268667</v>
      </c>
      <c r="CH88" s="3">
        <f>CH19/CH18*-1</f>
        <v>0.2641615706469263</v>
      </c>
      <c r="CJ88" s="3">
        <f>CJ19/CJ18</f>
        <v>-0.14153459908991056</v>
      </c>
      <c r="CL88" s="3">
        <f>CL19/CL18*-1</f>
        <v>0.32516112725894097</v>
      </c>
      <c r="CM88" s="20"/>
      <c r="CN88" s="3">
        <f>CN19/CN18*-1</f>
        <v>0.33581633899132984</v>
      </c>
      <c r="CP88" s="3">
        <f>CP19/CP18*-1</f>
        <v>0.21116773764679814</v>
      </c>
      <c r="CR88" s="3">
        <f>CR19/CR18</f>
        <v>-0.1620174697097774</v>
      </c>
      <c r="CT88" s="3">
        <f>CT19/CT18</f>
        <v>-0.1620174697097774</v>
      </c>
      <c r="CV88" s="3">
        <f>CV19/CV18</f>
        <v>-0.1620174697097774</v>
      </c>
      <c r="CX88" s="3">
        <f>CX19/CX18</f>
        <v>-0.1620174697097774</v>
      </c>
      <c r="CZ88" s="3">
        <f>CZ19/CZ18</f>
        <v>-0.1620174697097774</v>
      </c>
      <c r="DB88" s="3">
        <f>DB19/DB18</f>
        <v>-0.1620174697097774</v>
      </c>
      <c r="DD88" s="3">
        <f>DD19/DD18</f>
        <v>-0.1620174697097774</v>
      </c>
      <c r="DF88" s="3">
        <f>DF19/DF18</f>
        <v>-0.1620174697097774</v>
      </c>
      <c r="DI88" s="3">
        <f>DI19/DI18*-1</f>
        <v>0.69215406562054205</v>
      </c>
      <c r="DK88" s="23">
        <v>-0.14000000000000001</v>
      </c>
      <c r="DL88" s="20"/>
      <c r="DM88" s="23">
        <v>-0.14000000000000001</v>
      </c>
      <c r="DN88" s="20"/>
      <c r="DP88" s="23">
        <v>-0.14000000000000001</v>
      </c>
      <c r="DQ88" s="20"/>
      <c r="DR88" s="23">
        <v>-0.14000000000000001</v>
      </c>
      <c r="DS88" s="20"/>
      <c r="DU88" s="23">
        <v>-0.14000000000000001</v>
      </c>
      <c r="DV88" s="20"/>
    </row>
    <row r="89" spans="1:126">
      <c r="A89" s="1" t="s">
        <v>54</v>
      </c>
      <c r="B89" s="3">
        <f>B26/B43</f>
        <v>0.23782108060230292</v>
      </c>
      <c r="D89" s="3">
        <f>(D26+D27)/D43</f>
        <v>0.2250431643384084</v>
      </c>
      <c r="F89" s="3">
        <f>(F26+F27)/F43</f>
        <v>0.29059171105193077</v>
      </c>
      <c r="I89" s="3">
        <f>(I26+I27)/I43</f>
        <v>0.61430575035063117</v>
      </c>
      <c r="K89" s="3">
        <f>K26/K43</f>
        <v>0.74337899543378994</v>
      </c>
      <c r="N89" s="3">
        <f>(N26+N27)/N43</f>
        <v>0.1783743786896585</v>
      </c>
      <c r="P89" s="3">
        <f>(P26+P27)/P43</f>
        <v>0.54680684952896474</v>
      </c>
      <c r="R89" s="3">
        <f>(R26+R27)/R43</f>
        <v>0.32048662262985317</v>
      </c>
      <c r="T89" s="3">
        <f>(T26+T27)/T43</f>
        <v>0.46625849478036341</v>
      </c>
      <c r="V89" s="3">
        <f>(V26+V27)/V43</f>
        <v>0.46562550313959106</v>
      </c>
      <c r="X89" s="3">
        <f>(X26+X27)/X43</f>
        <v>2.2960888294923012E-2</v>
      </c>
      <c r="AA89" s="3">
        <f>(AA26+AA27)/AA43</f>
        <v>0.36871031934047188</v>
      </c>
      <c r="AC89" s="3">
        <f>(AC26+AC27)/AC43</f>
        <v>0.19029334494069364</v>
      </c>
      <c r="AF89" s="3">
        <f>(AF26+AF27)/AF43</f>
        <v>0.36718804748489819</v>
      </c>
      <c r="AH89" s="3">
        <f>AH26/AH43</f>
        <v>0.38560409330138012</v>
      </c>
      <c r="AJ89" s="3">
        <f>(AJ26+AJ27)/AJ43</f>
        <v>0.42639135668023154</v>
      </c>
      <c r="AL89" s="3">
        <f>(AL26+AL27)/AL43</f>
        <v>0.35319950867392436</v>
      </c>
      <c r="AO89" s="3">
        <f>(AO26+AO27)/AO43</f>
        <v>1.229049654277339E-2</v>
      </c>
      <c r="AQ89" s="3">
        <f>(AQ26+AQ27)/AQ43</f>
        <v>0.11194347214498349</v>
      </c>
      <c r="AS89" s="3">
        <f>(AS26+AS27)/AS43</f>
        <v>2.7384973707242626E-2</v>
      </c>
      <c r="AU89" s="3">
        <f>(AU26+AU27)/AU43</f>
        <v>0.11167771545130036</v>
      </c>
      <c r="AW89" s="3">
        <f>(AW26+AW27)/AW43</f>
        <v>0.11167771545130036</v>
      </c>
      <c r="AY89" s="3">
        <f>(AY26+AY27)/AY43</f>
        <v>0.11167771545130036</v>
      </c>
      <c r="BA89" s="3">
        <f>(BA26+BA27)/BA43</f>
        <v>5.894746415254494E-2</v>
      </c>
      <c r="BC89" s="3">
        <f>(BC26+BC27)/BC43</f>
        <v>7.6897360670005938E-2</v>
      </c>
      <c r="BF89" s="3">
        <f>BF26/BF43</f>
        <v>9.9057317134647382E-2</v>
      </c>
      <c r="BI89" s="3">
        <f>(BI26+BI27)/BI43</f>
        <v>0.38468584976829401</v>
      </c>
      <c r="BK89" s="3">
        <f>(BK26+BK27)/BK43</f>
        <v>0.28771806505208003</v>
      </c>
      <c r="BN89" s="3">
        <f>(BN26+BN27)/BN43</f>
        <v>0.52399900522258147</v>
      </c>
      <c r="BP89" s="3">
        <f>(BP26+BP27)/BP43</f>
        <v>0.6209132204108595</v>
      </c>
      <c r="BR89" s="3">
        <f>(BR26+BR27)/BR43</f>
        <v>0.36080870917573871</v>
      </c>
      <c r="BU89" s="3">
        <f>(BU26+BU27)/BU43</f>
        <v>0.36292987496056195</v>
      </c>
      <c r="BW89" s="3">
        <f>(BW26+BW27)/BW43</f>
        <v>0.45929734361610969</v>
      </c>
      <c r="BZ89" s="3">
        <f>(BZ26+BZ27)/BZ43</f>
        <v>0.42851392395799026</v>
      </c>
      <c r="CC89" s="3">
        <f>(CC26+CC27)/CC43</f>
        <v>6.1427740622273914E-2</v>
      </c>
      <c r="CE89" s="3">
        <f>(CE26+CE27)/CE43</f>
        <v>3.4654972897253181E-2</v>
      </c>
      <c r="CH89" s="3">
        <f>CH26/CH43</f>
        <v>0</v>
      </c>
      <c r="CJ89" s="3">
        <f>(CJ26+CJ27)/CJ43</f>
        <v>0.17506685460605181</v>
      </c>
      <c r="CL89" s="23">
        <v>0.18</v>
      </c>
      <c r="CM89" s="20"/>
      <c r="CN89" s="3">
        <f>(CN26+CN27)/CN43</f>
        <v>6.9833457397757955E-3</v>
      </c>
      <c r="CP89" s="3">
        <f>(CP26+CP27)/CP43</f>
        <v>1.1199714897290401E-2</v>
      </c>
      <c r="CR89" s="3">
        <f>(CR26+CR27)/CR43</f>
        <v>2.2102537121109489E-2</v>
      </c>
      <c r="CT89" s="3">
        <f>(CT26+CT27)/CT43</f>
        <v>2.2102537121109489E-2</v>
      </c>
      <c r="CV89" s="3">
        <f>(CV26+CV27)/CV43</f>
        <v>2.2102537121109489E-2</v>
      </c>
      <c r="CX89" s="3">
        <f>(CX26+CX27)/CX43</f>
        <v>2.2102537121109489E-2</v>
      </c>
      <c r="CZ89" s="3">
        <f>(CZ26+CZ27)/CZ43</f>
        <v>2.2102537121109489E-2</v>
      </c>
      <c r="DB89" s="3">
        <f>(DB26+DB27)/DB43</f>
        <v>2.2102537121109489E-2</v>
      </c>
      <c r="DD89" s="3">
        <f>(DD26+DD27)/DD43</f>
        <v>2.2102537121109489E-2</v>
      </c>
      <c r="DF89" s="3">
        <f>(DF26+DF27)/DF43</f>
        <v>2.2102537121109489E-2</v>
      </c>
      <c r="DI89" s="3">
        <f>(DI26+DI27)/DI43</f>
        <v>6.0977257374465209E-2</v>
      </c>
      <c r="DK89" s="23">
        <v>0.18</v>
      </c>
      <c r="DL89" s="20"/>
      <c r="DM89" s="23">
        <v>0.18</v>
      </c>
      <c r="DN89" s="20"/>
      <c r="DP89" s="23">
        <v>0.18</v>
      </c>
      <c r="DQ89" s="20"/>
      <c r="DR89" s="23">
        <v>0.18</v>
      </c>
      <c r="DS89" s="20"/>
      <c r="DU89" s="23">
        <v>0.18</v>
      </c>
      <c r="DV89" s="20"/>
    </row>
    <row r="90" spans="1:126">
      <c r="A90" s="1" t="s">
        <v>55</v>
      </c>
      <c r="B90" s="3">
        <f>B26/B61</f>
        <v>1.472962382445141</v>
      </c>
      <c r="D90" s="3">
        <f>(D26+D27)/D61</f>
        <v>0.8013973799126638</v>
      </c>
      <c r="F90" s="3">
        <f>(F26+F27)/F61</f>
        <v>0.72714493960849647</v>
      </c>
      <c r="I90" s="3">
        <f>(I26+I27)/I61</f>
        <v>1.0371385842472582</v>
      </c>
      <c r="K90" s="3">
        <f>K26/K61</f>
        <v>1.8691159586681976</v>
      </c>
      <c r="N90" s="3">
        <f>(N26+N27)/N61</f>
        <v>0.52205640035779854</v>
      </c>
      <c r="P90" s="3">
        <f>(P26+P27)/P61</f>
        <v>0.92133511067457119</v>
      </c>
      <c r="R90" s="3">
        <f>(R26+R27)/R61</f>
        <v>1.7265745007680491</v>
      </c>
      <c r="T90" s="3">
        <f>(T26+T27)/T61</f>
        <v>0.79045815877108172</v>
      </c>
      <c r="V90" s="3">
        <f>(V26+V27)/V61</f>
        <v>1.1193394400722487</v>
      </c>
      <c r="X90" s="3">
        <f>(X26+X27)/X61</f>
        <v>3.7938405882214754E-2</v>
      </c>
      <c r="AA90" s="3">
        <f>(AA26+AA27)/AA61</f>
        <v>1.00954802553059</v>
      </c>
      <c r="AC90" s="3">
        <f>(AC26+AC27)/AC61</f>
        <v>0.47438381646256395</v>
      </c>
      <c r="AF90" s="3">
        <f>(AF26+AF27)/AF61</f>
        <v>0.72283688334620899</v>
      </c>
      <c r="AH90" s="3">
        <f>AH26/AH61</f>
        <v>1.8123573937923292</v>
      </c>
      <c r="AJ90" s="3">
        <f>(AJ26+AJ27)/AJ61</f>
        <v>0.76102912968977776</v>
      </c>
      <c r="AL90" s="3">
        <f>(AL26+AL27)/AL61</f>
        <v>1.5276180772869514</v>
      </c>
      <c r="AO90" s="3">
        <f>(AO26+AO27)/AO61</f>
        <v>2.4256409124031177E-2</v>
      </c>
      <c r="AQ90" s="3">
        <f>(AQ26+AQ27)/AQ61</f>
        <v>0.26240922649857751</v>
      </c>
      <c r="AS90" s="3">
        <f>(AS26+AS27)/AS61</f>
        <v>6.201575783387115E-2</v>
      </c>
      <c r="AU90" s="3">
        <f>(AU26+AU27)/AU61</f>
        <v>0.27383557361675526</v>
      </c>
      <c r="AW90" s="3">
        <f>(AW26+AW27)/AW61</f>
        <v>0.27383557361675526</v>
      </c>
      <c r="AY90" s="3">
        <f>(AY26+AY27)/AY61</f>
        <v>0.27383557361675526</v>
      </c>
      <c r="BA90" s="3">
        <f>(BA26+BA27)/BA61</f>
        <v>0.12168335419274093</v>
      </c>
      <c r="BC90" s="3">
        <f>(BC26+BC27)/BC61</f>
        <v>0.17809371245494593</v>
      </c>
      <c r="BF90" s="3">
        <f>BF26/BF61</f>
        <v>0.38872403560830859</v>
      </c>
      <c r="BI90" s="3">
        <f>(BI26+BI27)/BI61</f>
        <v>0.7725354398874581</v>
      </c>
      <c r="BK90" s="3">
        <f>(BK26+BK27)/BK61</f>
        <v>0.39771221623531489</v>
      </c>
      <c r="BN90" s="3">
        <f>(BN26+BN27)/BN61</f>
        <v>1.0742170429715951</v>
      </c>
      <c r="BP90" s="3">
        <f>(BP26+BP27)/BP61</f>
        <v>1.6755133029642832</v>
      </c>
      <c r="BR90" s="3">
        <f>(BR26+BR27)/BR61</f>
        <v>1.1160725299124215</v>
      </c>
      <c r="BU90" s="3">
        <f>(BU26+BU27)/BU61</f>
        <v>0.68151982413196344</v>
      </c>
      <c r="BW90" s="3">
        <f>(BW26+BW27)/BW61</f>
        <v>1.4110023624704691</v>
      </c>
      <c r="BZ90" s="3">
        <f>(BZ26+BZ27)/BZ61</f>
        <v>1.5053348759480654</v>
      </c>
      <c r="CC90" s="3">
        <f>(CC26+CC27)/CC61</f>
        <v>9.1065847612889314E-2</v>
      </c>
      <c r="CE90" s="3">
        <f>(CE26+CE27)/CE61</f>
        <v>5.0300565770862803E-2</v>
      </c>
      <c r="CH90" s="3">
        <f>CH26/CH61</f>
        <v>0</v>
      </c>
      <c r="CJ90" s="3">
        <f>(CJ26+CJ27)/CJ61</f>
        <v>0.64965475099297276</v>
      </c>
      <c r="CL90" s="23">
        <v>0.65</v>
      </c>
      <c r="CM90" s="20"/>
      <c r="CN90" s="3">
        <f>(CN26+CN27)/CN61</f>
        <v>0.13789736951800091</v>
      </c>
      <c r="CP90" s="3">
        <f>(CP26+CP27)/CP61</f>
        <v>0.15708367680183136</v>
      </c>
      <c r="CR90" s="3">
        <f>(CR26+CR27)/CR61</f>
        <v>0.33277992552712093</v>
      </c>
      <c r="CT90" s="3">
        <f>(CT26+CT27)/CT61</f>
        <v>0.33277992552712093</v>
      </c>
      <c r="CV90" s="3">
        <f>(CV26+CV27)/CV61</f>
        <v>0.33277992552712093</v>
      </c>
      <c r="CX90" s="3">
        <f>(CX26+CX27)/CX61</f>
        <v>0.33277992552712093</v>
      </c>
      <c r="CZ90" s="3">
        <f>(CZ26+CZ27)/CZ61</f>
        <v>0.33277992552712093</v>
      </c>
      <c r="DB90" s="3">
        <f>(DB26+DB27)/DB61</f>
        <v>0.33277992552712093</v>
      </c>
      <c r="DD90" s="3">
        <f>(DD26+DD27)/DD61</f>
        <v>0.33277992552712093</v>
      </c>
      <c r="DF90" s="3">
        <f>(DF26+DF27)/DF61</f>
        <v>0.33277992552712093</v>
      </c>
      <c r="DI90" s="3">
        <f>(DI26+DI27)/DI61</f>
        <v>0.12653732570745019</v>
      </c>
      <c r="DK90" s="23">
        <v>0.65</v>
      </c>
      <c r="DL90" s="20"/>
      <c r="DM90" s="23">
        <v>0.65</v>
      </c>
      <c r="DN90" s="20"/>
      <c r="DP90" s="23">
        <v>0.65</v>
      </c>
      <c r="DQ90" s="20"/>
      <c r="DR90" s="23">
        <v>0.65</v>
      </c>
      <c r="DS90" s="20"/>
      <c r="DU90" s="23">
        <v>0.65</v>
      </c>
      <c r="DV90" s="20"/>
    </row>
    <row r="91" spans="1:126">
      <c r="A91" s="1" t="s">
        <v>42</v>
      </c>
      <c r="B91" s="3">
        <f>B11/B5</f>
        <v>-3.6360945285904583E-2</v>
      </c>
      <c r="D91" s="3">
        <f>D11/D5*-1</f>
        <v>5.6548325030969133E-2</v>
      </c>
      <c r="F91" s="3">
        <f>F11/F5</f>
        <v>-3.5127126744408335E-2</v>
      </c>
      <c r="I91" s="3">
        <f>I11/I5</f>
        <v>-0.13571216176033304</v>
      </c>
      <c r="K91" s="3">
        <f>K11/K5</f>
        <v>0</v>
      </c>
      <c r="N91" s="3">
        <f>N11/N5</f>
        <v>-0.19816160752458314</v>
      </c>
      <c r="P91" s="3">
        <f>P11/P5</f>
        <v>-0.14476040180874633</v>
      </c>
      <c r="R91" s="3">
        <f>R11/R5</f>
        <v>-0.14800980946991132</v>
      </c>
      <c r="T91" s="3">
        <f>T11/T5*-1</f>
        <v>0.17009668508287293</v>
      </c>
      <c r="V91" s="3">
        <f>V11/V5</f>
        <v>-0.18750729259849869</v>
      </c>
      <c r="X91" s="3">
        <f>X11/X5</f>
        <v>-0.14039391183650027</v>
      </c>
      <c r="AA91" s="3">
        <f>AA11/AA5</f>
        <v>-8.0267192290845377E-2</v>
      </c>
      <c r="AC91" s="3">
        <f>AC11/AC5</f>
        <v>-2.2177342529436421E-2</v>
      </c>
      <c r="AF91" s="3">
        <f>AF11/AF5</f>
        <v>0</v>
      </c>
      <c r="AH91" s="3">
        <f>AH11/AH5</f>
        <v>0</v>
      </c>
      <c r="AJ91" s="3">
        <f>AJ11/AJ5</f>
        <v>0</v>
      </c>
      <c r="AL91" s="3">
        <f>AL11/AL5</f>
        <v>0</v>
      </c>
      <c r="AO91" s="3">
        <f>AO11/AO5</f>
        <v>-2.9208727159905591E-3</v>
      </c>
      <c r="AQ91" s="3">
        <f>AQ11/AQ5</f>
        <v>0</v>
      </c>
      <c r="AS91" s="3">
        <f>AS11/AS5</f>
        <v>0</v>
      </c>
      <c r="AU91" s="3">
        <f>AU11/AU5</f>
        <v>0</v>
      </c>
      <c r="AW91" s="3">
        <f>AW11/AW5</f>
        <v>0</v>
      </c>
      <c r="AY91" s="3">
        <f>AY11/AY5</f>
        <v>0</v>
      </c>
      <c r="BA91" s="3">
        <f>BA11/BA5</f>
        <v>0</v>
      </c>
      <c r="BC91" s="3">
        <f>BC11/BC5</f>
        <v>0</v>
      </c>
      <c r="BF91" s="3">
        <f>BF11/BF5</f>
        <v>0</v>
      </c>
      <c r="BI91" s="3">
        <f>BI11/BI5</f>
        <v>0</v>
      </c>
      <c r="BK91" s="3">
        <f>BK11/BK5*-1</f>
        <v>3.7299791086350974E-2</v>
      </c>
      <c r="BN91" s="3">
        <f>BN11/BN5</f>
        <v>0</v>
      </c>
      <c r="BP91" s="3">
        <f>BP11/BP5</f>
        <v>0</v>
      </c>
      <c r="BR91" s="3">
        <f>BR11/BR5</f>
        <v>0</v>
      </c>
      <c r="BU91" s="3">
        <f>BU11/BU5*-1</f>
        <v>1.6308947676815903E-2</v>
      </c>
      <c r="BW91" s="3">
        <f>BW11/BW5</f>
        <v>0</v>
      </c>
      <c r="BZ91" s="3">
        <f>BZ11/BZ5</f>
        <v>0</v>
      </c>
      <c r="CC91" s="3">
        <f>CC11/CC5</f>
        <v>0</v>
      </c>
      <c r="CE91" s="3">
        <f>CE11/CE5</f>
        <v>0</v>
      </c>
      <c r="CH91" s="3">
        <f>CH11/CH5</f>
        <v>0</v>
      </c>
      <c r="CJ91" s="3">
        <f>CJ11/CJ5</f>
        <v>0</v>
      </c>
      <c r="CL91" s="23">
        <v>0</v>
      </c>
      <c r="CM91" s="20"/>
      <c r="CN91" s="3">
        <f>CN11/CN5</f>
        <v>0</v>
      </c>
      <c r="CP91" s="3">
        <f>CP11/CP5</f>
        <v>0</v>
      </c>
      <c r="CR91" s="3">
        <f>CR11/CR5</f>
        <v>0</v>
      </c>
      <c r="CT91" s="3">
        <f>CT11/CT5</f>
        <v>0</v>
      </c>
      <c r="CV91" s="3">
        <f>CV11/CV5</f>
        <v>0</v>
      </c>
      <c r="CX91" s="3">
        <f>CX11/CX5</f>
        <v>0</v>
      </c>
      <c r="CZ91" s="3">
        <f>CZ11/CZ5</f>
        <v>0</v>
      </c>
      <c r="DB91" s="3">
        <f>DB11/DB5</f>
        <v>0</v>
      </c>
      <c r="DD91" s="3">
        <f>DD11/DD5</f>
        <v>0</v>
      </c>
      <c r="DF91" s="3">
        <f>DF11/DF5</f>
        <v>0</v>
      </c>
      <c r="DI91" s="3">
        <f>DI11/DI5</f>
        <v>0</v>
      </c>
      <c r="DK91" s="23">
        <v>0</v>
      </c>
      <c r="DL91" s="20"/>
      <c r="DM91" s="23">
        <v>0</v>
      </c>
      <c r="DN91" s="20"/>
      <c r="DP91" s="23">
        <v>0</v>
      </c>
      <c r="DQ91" s="20"/>
      <c r="DR91" s="23">
        <v>0</v>
      </c>
      <c r="DS91" s="20"/>
      <c r="DU91" s="23">
        <v>0</v>
      </c>
      <c r="DV91" s="20"/>
    </row>
    <row r="92" spans="1:126">
      <c r="A92" s="1" t="s">
        <v>120</v>
      </c>
      <c r="D92" s="1">
        <v>75078</v>
      </c>
      <c r="F92" s="1">
        <v>61000</v>
      </c>
      <c r="I92" s="1">
        <v>76500</v>
      </c>
      <c r="N92" s="1">
        <v>211000</v>
      </c>
      <c r="P92" s="1">
        <f>P94*P95/1000000</f>
        <v>101363.52023174001</v>
      </c>
      <c r="R92" s="1">
        <v>78240</v>
      </c>
      <c r="T92" s="1">
        <f>T95*T94/1000000</f>
        <v>172737.20272960002</v>
      </c>
      <c r="V92" s="1">
        <f>V95*V94/1000000</f>
        <v>44937.544759814991</v>
      </c>
      <c r="X92" s="1">
        <f>X95*X94/1000000</f>
        <v>87971.544639999993</v>
      </c>
      <c r="AF92" s="1">
        <f>AF95*AF94/100000000</f>
        <v>100428.840852594</v>
      </c>
      <c r="AL92" s="1">
        <f>AL95*AL94/1000000</f>
        <v>53884.131098239995</v>
      </c>
      <c r="AO92" s="1">
        <f>AO95*AO94/1000000</f>
        <v>448368.57325401995</v>
      </c>
      <c r="AQ92" s="1">
        <f>AQ95*AQ94/100000</f>
        <v>441828.05015999998</v>
      </c>
      <c r="AS92" s="1">
        <f>AS95*AS94/1000000</f>
        <v>65415.335939999997</v>
      </c>
      <c r="BA92" s="1">
        <f>BA95*BA94/1000000</f>
        <v>46974.62</v>
      </c>
      <c r="BC92" s="1">
        <f>BC95*BC94/1000000</f>
        <v>105878.0084648</v>
      </c>
      <c r="BI92" s="1">
        <f>BI95*BI94/1000000</f>
        <v>67333.439448599995</v>
      </c>
      <c r="BK92" s="1">
        <f>BK95*BK94/1000000</f>
        <v>77373.670969900006</v>
      </c>
      <c r="BU92" s="1">
        <f>BU95*BU94/1000000</f>
        <v>208257.584</v>
      </c>
      <c r="BW92" s="1">
        <v>83800</v>
      </c>
      <c r="CC92" s="1">
        <f>CC95*CC94/1000000</f>
        <v>69002.675279999996</v>
      </c>
      <c r="CE92" s="1">
        <f>CE95*CE94/1000000</f>
        <v>460110.016</v>
      </c>
      <c r="CH92" s="1">
        <v>92800</v>
      </c>
      <c r="CL92" s="1">
        <f>CL95*CL94/1000000</f>
        <v>51302.030603120002</v>
      </c>
      <c r="CN92" s="1">
        <f>CN95*CN94/1000000000</f>
        <v>70538.313999999998</v>
      </c>
      <c r="CP92" s="1">
        <v>207000</v>
      </c>
      <c r="DI92" s="1">
        <f>DI95*DI94/1000</f>
        <v>80434.024109999998</v>
      </c>
    </row>
    <row r="94" spans="1:126">
      <c r="A94" s="1" t="s">
        <v>121</v>
      </c>
      <c r="D94" s="36">
        <v>89.06</v>
      </c>
      <c r="F94" s="36">
        <v>26.56</v>
      </c>
      <c r="I94" s="36">
        <v>62.31</v>
      </c>
      <c r="N94" s="36">
        <v>247.4</v>
      </c>
      <c r="P94" s="36">
        <v>76.540000000000006</v>
      </c>
      <c r="R94" s="36">
        <v>16.12</v>
      </c>
      <c r="T94" s="35">
        <v>71.2</v>
      </c>
      <c r="V94" s="36">
        <v>35.744999999999997</v>
      </c>
      <c r="X94" s="36">
        <v>198.8</v>
      </c>
      <c r="AF94" s="36">
        <v>186.6</v>
      </c>
      <c r="AL94" s="36">
        <v>11.84</v>
      </c>
      <c r="AO94" s="36">
        <v>71.27</v>
      </c>
      <c r="AQ94" s="1">
        <v>2163</v>
      </c>
      <c r="AS94" s="36">
        <v>18</v>
      </c>
      <c r="BA94" s="35">
        <v>12.98</v>
      </c>
      <c r="BC94" s="36">
        <v>44.53</v>
      </c>
      <c r="BI94" s="36">
        <v>132.6</v>
      </c>
      <c r="BK94" s="36">
        <v>127.7</v>
      </c>
      <c r="BU94" s="36">
        <v>64.58</v>
      </c>
      <c r="BW94" s="36">
        <v>63.96</v>
      </c>
      <c r="CC94" s="36">
        <v>110.7</v>
      </c>
      <c r="CE94" s="36">
        <v>278</v>
      </c>
      <c r="CH94" s="36">
        <v>204.15</v>
      </c>
      <c r="CL94" s="36">
        <v>85.22</v>
      </c>
      <c r="CN94" s="36">
        <v>56.65</v>
      </c>
      <c r="CP94" s="36">
        <v>10.99</v>
      </c>
      <c r="CQ94" s="1" t="s">
        <v>155</v>
      </c>
      <c r="DI94" s="36">
        <v>56.43</v>
      </c>
    </row>
    <row r="95" spans="1:126">
      <c r="A95" s="1" t="s">
        <v>122</v>
      </c>
      <c r="D95" s="1">
        <v>881000000</v>
      </c>
      <c r="F95" s="1">
        <v>2300649304</v>
      </c>
      <c r="I95" s="1">
        <v>1229000000</v>
      </c>
      <c r="N95" s="1">
        <v>160000000</v>
      </c>
      <c r="P95" s="1">
        <v>1324320881</v>
      </c>
      <c r="R95" s="1">
        <v>5342206696</v>
      </c>
      <c r="T95" s="1">
        <v>2426084308</v>
      </c>
      <c r="V95" s="1">
        <v>1257170087</v>
      </c>
      <c r="X95" s="1">
        <v>442512800</v>
      </c>
      <c r="AF95" s="1">
        <v>53820386309</v>
      </c>
      <c r="AL95" s="1">
        <v>4551024586</v>
      </c>
      <c r="AO95" s="1">
        <v>6291126326</v>
      </c>
      <c r="AQ95" s="1">
        <v>20426632</v>
      </c>
      <c r="AS95" s="1">
        <v>3634185330</v>
      </c>
      <c r="BA95" s="1">
        <v>3619000000</v>
      </c>
      <c r="BC95" s="1">
        <v>2377678160</v>
      </c>
      <c r="BI95" s="1">
        <v>507793661</v>
      </c>
      <c r="BK95" s="1">
        <v>605901887</v>
      </c>
      <c r="BU95" s="1">
        <v>3224800000</v>
      </c>
      <c r="BW95" s="1">
        <v>1310156361</v>
      </c>
      <c r="CC95" s="1">
        <v>623330400</v>
      </c>
      <c r="CE95" s="1">
        <v>1655072000</v>
      </c>
      <c r="CH95" s="1">
        <v>295089818</v>
      </c>
      <c r="CL95" s="1">
        <v>601995196</v>
      </c>
      <c r="CN95" s="1">
        <v>1245160000000</v>
      </c>
      <c r="CP95" s="1">
        <v>18830007039</v>
      </c>
      <c r="DI95" s="1">
        <v>1425377</v>
      </c>
    </row>
    <row r="96" spans="1:126">
      <c r="A96" s="1" t="s">
        <v>123</v>
      </c>
      <c r="D96" s="36">
        <v>3</v>
      </c>
      <c r="F96" s="36">
        <v>0.78</v>
      </c>
      <c r="I96" s="36">
        <v>1</v>
      </c>
      <c r="N96" s="36">
        <v>7.8</v>
      </c>
      <c r="P96" s="36">
        <v>2.8</v>
      </c>
      <c r="R96" s="1">
        <v>78</v>
      </c>
      <c r="T96" s="36">
        <v>2.4500000000000002</v>
      </c>
      <c r="V96" s="36">
        <v>2.8</v>
      </c>
      <c r="X96" s="36">
        <v>4.5</v>
      </c>
      <c r="AF96" s="36">
        <v>10.19</v>
      </c>
      <c r="AL96" s="36">
        <v>0.35</v>
      </c>
      <c r="AO96" s="36">
        <v>1.8</v>
      </c>
      <c r="AQ96" s="35">
        <v>23.4</v>
      </c>
      <c r="AS96" s="36">
        <v>1.1000000000000001</v>
      </c>
      <c r="BA96" s="36">
        <v>0.1802</v>
      </c>
      <c r="BC96" s="36">
        <v>2.38</v>
      </c>
      <c r="BI96" s="36">
        <v>3</v>
      </c>
      <c r="BK96" s="36">
        <v>2.5</v>
      </c>
      <c r="BU96" s="36">
        <v>2.15</v>
      </c>
      <c r="BW96" s="36">
        <v>1.05</v>
      </c>
      <c r="CC96" s="36">
        <v>2.42</v>
      </c>
      <c r="CE96" s="36">
        <v>9.5</v>
      </c>
      <c r="CH96" s="36">
        <v>4</v>
      </c>
      <c r="CL96" s="36">
        <v>2.62</v>
      </c>
      <c r="CN96" s="36">
        <v>1.5</v>
      </c>
      <c r="CP96" s="36">
        <v>0.48</v>
      </c>
      <c r="DI96" s="36">
        <v>1.67</v>
      </c>
    </row>
    <row r="97" spans="1:113">
      <c r="F97" s="16" t="s">
        <v>126</v>
      </c>
      <c r="BA97" s="42" t="s">
        <v>150</v>
      </c>
    </row>
    <row r="98" spans="1:113">
      <c r="A98" s="1" t="s">
        <v>156</v>
      </c>
      <c r="AO98" s="1">
        <v>30781</v>
      </c>
      <c r="AQ98" s="1">
        <v>28203</v>
      </c>
      <c r="AS98" s="1">
        <v>8578</v>
      </c>
      <c r="BA98" s="1">
        <v>792</v>
      </c>
      <c r="BC98" s="1">
        <v>17397</v>
      </c>
      <c r="DI98" s="1">
        <v>6375</v>
      </c>
    </row>
    <row r="99" spans="1:113">
      <c r="A99" s="1" t="s">
        <v>157</v>
      </c>
      <c r="AO99" s="4">
        <v>353199</v>
      </c>
      <c r="AQ99" s="4">
        <v>298351</v>
      </c>
      <c r="AS99" s="4">
        <v>90003</v>
      </c>
      <c r="BA99" s="4">
        <v>3062</v>
      </c>
      <c r="BC99" s="4">
        <v>121113</v>
      </c>
      <c r="DI99" s="4">
        <v>8801</v>
      </c>
    </row>
    <row r="100" spans="1:113">
      <c r="A100" s="1" t="s">
        <v>158</v>
      </c>
      <c r="AO100" s="1">
        <f>SUM(AO98:AO99)</f>
        <v>383980</v>
      </c>
      <c r="AQ100" s="1">
        <f>SUM(AQ98:AQ99)</f>
        <v>326554</v>
      </c>
      <c r="AS100" s="1">
        <f>SUM(AS98:AS99)</f>
        <v>98581</v>
      </c>
      <c r="BA100" s="1">
        <f>SUM(BA98:BA99)</f>
        <v>3854</v>
      </c>
      <c r="BC100" s="1">
        <f>SUM(BC98:BC99)</f>
        <v>138510</v>
      </c>
      <c r="DI100" s="1">
        <f>SUM(DI98:DI99)</f>
        <v>15176</v>
      </c>
    </row>
    <row r="101" spans="1:113">
      <c r="A101" s="1" t="s">
        <v>0</v>
      </c>
      <c r="AO101" s="4">
        <v>-30009</v>
      </c>
      <c r="AQ101" s="4">
        <v>-29231</v>
      </c>
      <c r="AS101" s="4">
        <v>-7939</v>
      </c>
      <c r="BA101" s="4">
        <v>-838</v>
      </c>
      <c r="BC101" s="4">
        <v>-16023</v>
      </c>
      <c r="DI101" s="4">
        <v>-5737</v>
      </c>
    </row>
    <row r="102" spans="1:113">
      <c r="A102" s="1" t="s">
        <v>159</v>
      </c>
      <c r="AO102" s="1">
        <f>SUM(AO100:AO101)</f>
        <v>353971</v>
      </c>
      <c r="AQ102" s="1">
        <f>SUM(AQ100:AQ101)</f>
        <v>297323</v>
      </c>
      <c r="AS102" s="1">
        <f>SUM(AS100:AS101)</f>
        <v>90642</v>
      </c>
      <c r="BA102" s="1">
        <f>SUM(BA100:BA101)</f>
        <v>3016</v>
      </c>
      <c r="BC102" s="1">
        <f>SUM(BC100:BC101)</f>
        <v>122487</v>
      </c>
      <c r="DI102" s="1">
        <f>SUM(DI100:DI101)</f>
        <v>9439</v>
      </c>
    </row>
    <row r="103" spans="1:113">
      <c r="AQ103" s="1">
        <v>298351</v>
      </c>
    </row>
  </sheetData>
  <mergeCells count="14">
    <mergeCell ref="DP2:DS2"/>
    <mergeCell ref="CP2:DG2"/>
    <mergeCell ref="BN2:BS2"/>
    <mergeCell ref="B2:G2"/>
    <mergeCell ref="AA2:AD2"/>
    <mergeCell ref="BI2:BL2"/>
    <mergeCell ref="AF2:AM2"/>
    <mergeCell ref="CH2:CM2"/>
    <mergeCell ref="CC2:CF2"/>
    <mergeCell ref="AO2:BD2"/>
    <mergeCell ref="I2:L2"/>
    <mergeCell ref="N2:Y2"/>
    <mergeCell ref="BU2:BX2"/>
    <mergeCell ref="DI2:DN2"/>
  </mergeCells>
  <phoneticPr fontId="7" type="noConversion"/>
  <pageMargins left="0.75000000000000011" right="0.75000000000000011" top="1" bottom="1" header="0.5" footer="0.5"/>
  <pageSetup paperSize="9" fitToWidth="3" orientation="portrait" horizontalDpi="4294967292" verticalDpi="4294967292"/>
  <headerFooter>
    <oddHeader>&amp;L&amp;"Calibri,Regular"&amp;K000000Session 3 SM 1 Ratio analysis Europe's Top 50 companies 2014</oddHeader>
    <oddFooter>&amp;L&amp;"Calibri,Regular"&amp;K000000A86045 Accounting and Financial Reporting&amp;R&amp;"Calibri,Regular"&amp;K000000Paul G. Smith</oddFooter>
  </headerFooter>
  <ignoredErrors>
    <ignoredError sqref="R15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DV103"/>
  <sheetViews>
    <sheetView tabSelected="1" zoomScale="61" zoomScaleNormal="61" zoomScalePageLayoutView="6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4" sqref="A4:DI91"/>
    </sheetView>
  </sheetViews>
  <sheetFormatPr baseColWidth="10" defaultRowHeight="15" x14ac:dyDescent="0"/>
  <cols>
    <col min="1" max="1" width="28.33203125" style="1" customWidth="1"/>
    <col min="2" max="2" width="10.83203125" style="1" hidden="1" customWidth="1"/>
    <col min="3" max="3" width="5.83203125" style="1" hidden="1" customWidth="1"/>
    <col min="4" max="4" width="7.1640625" style="1" customWidth="1"/>
    <col min="5" max="5" width="8.1640625" style="1" hidden="1" customWidth="1"/>
    <col min="6" max="6" width="12.83203125" style="1" hidden="1" customWidth="1"/>
    <col min="7" max="7" width="8.1640625" style="1" hidden="1" customWidth="1"/>
    <col min="8" max="8" width="6.83203125" style="1" hidden="1" customWidth="1"/>
    <col min="9" max="9" width="12.83203125" style="1" hidden="1" customWidth="1"/>
    <col min="10" max="10" width="8.33203125" style="1" hidden="1" customWidth="1"/>
    <col min="11" max="11" width="10.83203125" style="1" hidden="1" customWidth="1"/>
    <col min="12" max="13" width="7.6640625" style="1" hidden="1" customWidth="1"/>
    <col min="14" max="14" width="11.33203125" style="1" hidden="1" customWidth="1"/>
    <col min="15" max="15" width="7.33203125" style="1" hidden="1" customWidth="1"/>
    <col min="16" max="16" width="14.83203125" style="1" hidden="1" customWidth="1"/>
    <col min="17" max="17" width="8.33203125" style="1" hidden="1" customWidth="1"/>
    <col min="18" max="18" width="12.83203125" style="1" hidden="1" customWidth="1"/>
    <col min="19" max="19" width="7.6640625" style="1" hidden="1" customWidth="1"/>
    <col min="20" max="20" width="7.1640625" style="1" customWidth="1"/>
    <col min="21" max="21" width="8.33203125" style="1" hidden="1" customWidth="1"/>
    <col min="22" max="22" width="12.83203125" style="1" hidden="1" customWidth="1"/>
    <col min="23" max="23" width="8.33203125" style="1" hidden="1" customWidth="1"/>
    <col min="24" max="24" width="12.1640625" style="1" hidden="1" customWidth="1"/>
    <col min="25" max="25" width="7" style="1" hidden="1" customWidth="1"/>
    <col min="26" max="26" width="10.33203125" style="1" hidden="1" customWidth="1"/>
    <col min="27" max="27" width="0" style="1" hidden="1" customWidth="1"/>
    <col min="28" max="28" width="6.83203125" style="1" hidden="1" customWidth="1"/>
    <col min="29" max="29" width="0" style="1" hidden="1" customWidth="1"/>
    <col min="30" max="30" width="7.5" style="1" hidden="1" customWidth="1"/>
    <col min="31" max="31" width="0" style="1" hidden="1" customWidth="1"/>
    <col min="32" max="32" width="7.1640625" style="1" customWidth="1"/>
    <col min="33" max="33" width="7.6640625" style="1" hidden="1" customWidth="1"/>
    <col min="34" max="34" width="0" style="1" hidden="1" customWidth="1"/>
    <col min="35" max="35" width="7.33203125" style="1" hidden="1" customWidth="1"/>
    <col min="36" max="36" width="0" style="1" hidden="1" customWidth="1"/>
    <col min="37" max="37" width="7.6640625" style="1" hidden="1" customWidth="1"/>
    <col min="38" max="38" width="7.1640625" style="1" customWidth="1"/>
    <col min="39" max="39" width="7.6640625" style="1" hidden="1" customWidth="1"/>
    <col min="40" max="40" width="0" style="1" hidden="1" customWidth="1"/>
    <col min="41" max="41" width="7.1640625" style="1" customWidth="1"/>
    <col min="42" max="42" width="8.33203125" style="1" hidden="1" customWidth="1"/>
    <col min="43" max="43" width="7.1640625" style="1" customWidth="1"/>
    <col min="44" max="44" width="7.6640625" style="1" hidden="1" customWidth="1"/>
    <col min="45" max="45" width="7.1640625" style="1" customWidth="1"/>
    <col min="46" max="46" width="6.83203125" style="1" hidden="1" customWidth="1"/>
    <col min="47" max="47" width="10.83203125" style="1" hidden="1" customWidth="1"/>
    <col min="48" max="48" width="7.6640625" style="1" hidden="1" customWidth="1"/>
    <col min="49" max="49" width="10.5" style="1" hidden="1" customWidth="1"/>
    <col min="50" max="50" width="7.6640625" style="1" hidden="1" customWidth="1"/>
    <col min="51" max="51" width="10.6640625" style="1" hidden="1" customWidth="1"/>
    <col min="52" max="52" width="7.6640625" style="1" hidden="1" customWidth="1"/>
    <col min="53" max="53" width="7.1640625" style="1" customWidth="1"/>
    <col min="54" max="54" width="7.6640625" style="1" hidden="1" customWidth="1"/>
    <col min="55" max="55" width="7.1640625" style="1" customWidth="1"/>
    <col min="56" max="56" width="7.1640625" style="1" hidden="1" customWidth="1"/>
    <col min="57" max="58" width="0" style="1" hidden="1" customWidth="1"/>
    <col min="59" max="59" width="7.1640625" style="1" hidden="1" customWidth="1"/>
    <col min="60" max="60" width="0" style="1" hidden="1" customWidth="1"/>
    <col min="61" max="61" width="7.1640625" style="1" customWidth="1"/>
    <col min="62" max="62" width="7.5" style="1" hidden="1" customWidth="1"/>
    <col min="63" max="63" width="7.1640625" style="1" customWidth="1"/>
    <col min="64" max="65" width="7.83203125" style="1" hidden="1" customWidth="1"/>
    <col min="66" max="66" width="0" style="1" hidden="1" customWidth="1"/>
    <col min="67" max="67" width="8.1640625" style="1" hidden="1" customWidth="1"/>
    <col min="68" max="68" width="9.6640625" style="1" hidden="1" customWidth="1"/>
    <col min="69" max="69" width="9" style="1" hidden="1" customWidth="1"/>
    <col min="70" max="70" width="0" style="1" hidden="1" customWidth="1"/>
    <col min="71" max="72" width="7.33203125" style="1" hidden="1" customWidth="1"/>
    <col min="73" max="73" width="7.1640625" style="1" customWidth="1"/>
    <col min="74" max="74" width="8.33203125" style="1" hidden="1" customWidth="1"/>
    <col min="75" max="75" width="7.1640625" style="1" customWidth="1"/>
    <col min="76" max="77" width="8.83203125" style="1" hidden="1" customWidth="1"/>
    <col min="78" max="78" width="0" style="1" hidden="1" customWidth="1"/>
    <col min="79" max="80" width="8.83203125" style="1" hidden="1" customWidth="1"/>
    <col min="81" max="81" width="7.1640625" style="1" customWidth="1"/>
    <col min="82" max="82" width="6.5" style="1" hidden="1" customWidth="1"/>
    <col min="83" max="83" width="7.1640625" style="1" customWidth="1"/>
    <col min="84" max="85" width="6.5" style="1" hidden="1" customWidth="1"/>
    <col min="86" max="86" width="7.1640625" style="1" customWidth="1"/>
    <col min="87" max="87" width="6.5" style="1" hidden="1" customWidth="1"/>
    <col min="88" max="88" width="10.83203125" style="1" hidden="1" customWidth="1"/>
    <col min="89" max="89" width="6.5" style="1" hidden="1" customWidth="1"/>
    <col min="90" max="90" width="7.1640625" style="1" customWidth="1"/>
    <col min="91" max="91" width="6.5" style="1" hidden="1" customWidth="1"/>
    <col min="92" max="92" width="7.1640625" style="1" customWidth="1"/>
    <col min="93" max="93" width="7.5" style="1" hidden="1" customWidth="1"/>
    <col min="94" max="94" width="7.1640625" style="1" customWidth="1"/>
    <col min="95" max="95" width="7.6640625" style="1" hidden="1" customWidth="1"/>
    <col min="96" max="96" width="0" style="1" hidden="1" customWidth="1"/>
    <col min="97" max="97" width="8.33203125" style="1" hidden="1" customWidth="1"/>
    <col min="98" max="112" width="0" style="1" hidden="1" customWidth="1"/>
    <col min="113" max="113" width="7.1640625" style="1" customWidth="1"/>
    <col min="114" max="114" width="6.83203125" style="1" hidden="1" customWidth="1"/>
    <col min="115" max="126" width="0" style="1" hidden="1" customWidth="1"/>
    <col min="127" max="16384" width="10.83203125" style="1"/>
  </cols>
  <sheetData>
    <row r="2" spans="1:126" ht="38" hidden="1" customHeight="1">
      <c r="A2" s="11" t="s">
        <v>29</v>
      </c>
      <c r="B2" s="53"/>
      <c r="C2" s="53"/>
      <c r="D2" s="53"/>
      <c r="E2" s="53"/>
      <c r="F2" s="53"/>
      <c r="G2" s="53"/>
      <c r="H2" s="13"/>
      <c r="I2" s="53" t="s">
        <v>39</v>
      </c>
      <c r="J2" s="53"/>
      <c r="K2" s="53"/>
      <c r="L2" s="53"/>
      <c r="M2" s="4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43"/>
      <c r="AA2" s="53" t="s">
        <v>83</v>
      </c>
      <c r="AB2" s="53"/>
      <c r="AC2" s="53"/>
      <c r="AD2" s="53"/>
      <c r="AF2" s="53"/>
      <c r="AG2" s="53"/>
      <c r="AH2" s="53"/>
      <c r="AI2" s="53"/>
      <c r="AJ2" s="53"/>
      <c r="AK2" s="53"/>
      <c r="AL2" s="53"/>
      <c r="AM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F2" s="43" t="s">
        <v>50</v>
      </c>
      <c r="BI2" s="53"/>
      <c r="BJ2" s="53"/>
      <c r="BK2" s="53"/>
      <c r="BL2" s="53"/>
      <c r="BM2" s="19"/>
      <c r="BN2" s="53" t="s">
        <v>78</v>
      </c>
      <c r="BO2" s="53"/>
      <c r="BP2" s="53"/>
      <c r="BQ2" s="53"/>
      <c r="BR2" s="53"/>
      <c r="BS2" s="53"/>
      <c r="BT2" s="43"/>
      <c r="BU2" s="53"/>
      <c r="BV2" s="53"/>
      <c r="BW2" s="53"/>
      <c r="BX2" s="53"/>
      <c r="BY2" s="43"/>
      <c r="BZ2" s="43" t="s">
        <v>79</v>
      </c>
      <c r="CA2" s="19"/>
      <c r="CB2" s="19"/>
      <c r="CC2" s="53"/>
      <c r="CD2" s="53"/>
      <c r="CE2" s="53"/>
      <c r="CF2" s="53"/>
      <c r="CG2" s="19"/>
      <c r="CH2" s="53"/>
      <c r="CI2" s="53"/>
      <c r="CJ2" s="53"/>
      <c r="CK2" s="53"/>
      <c r="CL2" s="53"/>
      <c r="CM2" s="53"/>
      <c r="CN2" s="43"/>
      <c r="CO2" s="4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43"/>
      <c r="DI2" s="53"/>
      <c r="DJ2" s="53"/>
      <c r="DK2" s="53"/>
      <c r="DL2" s="53"/>
      <c r="DM2" s="53"/>
      <c r="DN2" s="53"/>
      <c r="DP2" s="53" t="s">
        <v>95</v>
      </c>
      <c r="DQ2" s="53"/>
      <c r="DR2" s="53"/>
      <c r="DS2" s="53"/>
      <c r="DU2" s="43" t="s">
        <v>99</v>
      </c>
    </row>
    <row r="3" spans="1:126" ht="18" hidden="1">
      <c r="A3" s="11"/>
      <c r="B3" s="43"/>
      <c r="C3" s="43"/>
      <c r="D3" s="43" t="s">
        <v>125</v>
      </c>
      <c r="E3" s="43"/>
      <c r="F3" s="43" t="s">
        <v>124</v>
      </c>
      <c r="G3" s="43"/>
      <c r="H3" s="13"/>
      <c r="I3" s="43" t="s">
        <v>125</v>
      </c>
      <c r="J3" s="43"/>
      <c r="K3" s="43"/>
      <c r="L3" s="43"/>
      <c r="M3" s="43"/>
      <c r="N3" s="43" t="s">
        <v>128</v>
      </c>
      <c r="O3" s="43"/>
      <c r="P3" s="43" t="s">
        <v>125</v>
      </c>
      <c r="Q3" s="43"/>
      <c r="R3" s="43" t="s">
        <v>138</v>
      </c>
      <c r="S3" s="43"/>
      <c r="T3" s="43" t="s">
        <v>141</v>
      </c>
      <c r="U3" s="43"/>
      <c r="V3" s="43" t="s">
        <v>141</v>
      </c>
      <c r="W3" s="43"/>
      <c r="X3" s="43" t="s">
        <v>143</v>
      </c>
      <c r="Y3" s="43"/>
      <c r="Z3" s="43"/>
      <c r="AA3" s="43"/>
      <c r="AB3" s="43"/>
      <c r="AC3" s="43"/>
      <c r="AD3" s="43"/>
      <c r="AF3" s="43" t="s">
        <v>146</v>
      </c>
      <c r="AG3" s="43"/>
      <c r="AH3" s="43"/>
      <c r="AI3" s="43"/>
      <c r="AJ3" s="43"/>
      <c r="AK3" s="43"/>
      <c r="AL3" s="43" t="s">
        <v>125</v>
      </c>
      <c r="AM3" s="43"/>
      <c r="AO3" s="43" t="s">
        <v>124</v>
      </c>
      <c r="AP3" s="43"/>
      <c r="AQ3" s="43" t="s">
        <v>124</v>
      </c>
      <c r="AR3" s="43"/>
      <c r="AS3" s="43" t="s">
        <v>125</v>
      </c>
      <c r="AT3" s="43"/>
      <c r="AU3" s="43"/>
      <c r="AV3" s="43"/>
      <c r="AW3" s="43"/>
      <c r="AX3" s="43"/>
      <c r="AY3" s="43"/>
      <c r="AZ3" s="43"/>
      <c r="BA3" s="43" t="s">
        <v>124</v>
      </c>
      <c r="BB3" s="43"/>
      <c r="BC3" s="43" t="s">
        <v>125</v>
      </c>
      <c r="BD3" s="43"/>
      <c r="BF3" s="43"/>
      <c r="BI3" s="43" t="s">
        <v>125</v>
      </c>
      <c r="BJ3" s="43"/>
      <c r="BK3" s="43" t="s">
        <v>125</v>
      </c>
      <c r="BL3" s="43"/>
      <c r="BM3" s="19"/>
      <c r="BN3" s="43"/>
      <c r="BO3" s="43"/>
      <c r="BP3" s="43"/>
      <c r="BQ3" s="43"/>
      <c r="BR3" s="43"/>
      <c r="BS3" s="43"/>
      <c r="BT3" s="43"/>
      <c r="BU3" s="43" t="s">
        <v>128</v>
      </c>
      <c r="BV3" s="43"/>
      <c r="BW3" s="43" t="s">
        <v>125</v>
      </c>
      <c r="BX3" s="43"/>
      <c r="BY3" s="43"/>
      <c r="BZ3" s="43"/>
      <c r="CA3" s="19"/>
      <c r="CB3" s="19"/>
      <c r="CC3" s="43" t="s">
        <v>153</v>
      </c>
      <c r="CD3" s="43"/>
      <c r="CE3" s="43" t="s">
        <v>152</v>
      </c>
      <c r="CF3" s="43"/>
      <c r="CG3" s="19"/>
      <c r="CH3" s="43" t="s">
        <v>125</v>
      </c>
      <c r="CI3" s="43"/>
      <c r="CJ3" s="43"/>
      <c r="CK3" s="43"/>
      <c r="CL3" s="43" t="s">
        <v>125</v>
      </c>
      <c r="CM3" s="43"/>
      <c r="CN3" s="43" t="s">
        <v>125</v>
      </c>
      <c r="CO3" s="43"/>
      <c r="CP3" s="43" t="s">
        <v>154</v>
      </c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 t="s">
        <v>141</v>
      </c>
      <c r="DJ3" s="19"/>
      <c r="DK3" s="43"/>
      <c r="DL3" s="43"/>
      <c r="DM3" s="43"/>
      <c r="DN3" s="43"/>
      <c r="DP3" s="43"/>
      <c r="DQ3" s="43"/>
      <c r="DR3" s="43"/>
      <c r="DS3" s="43"/>
      <c r="DU3" s="43"/>
    </row>
    <row r="4" spans="1:126" ht="67">
      <c r="A4" s="1" t="s">
        <v>160</v>
      </c>
      <c r="B4" s="5" t="s">
        <v>7</v>
      </c>
      <c r="C4" s="43" t="s">
        <v>9</v>
      </c>
      <c r="D4" s="50" t="s">
        <v>35</v>
      </c>
      <c r="E4" s="43" t="s">
        <v>9</v>
      </c>
      <c r="F4" s="43" t="s">
        <v>82</v>
      </c>
      <c r="G4" s="43" t="s">
        <v>9</v>
      </c>
      <c r="H4" s="43"/>
      <c r="I4" s="43" t="s">
        <v>37</v>
      </c>
      <c r="J4" s="43" t="s">
        <v>9</v>
      </c>
      <c r="K4" s="43" t="s">
        <v>38</v>
      </c>
      <c r="L4" s="43" t="s">
        <v>9</v>
      </c>
      <c r="M4" s="43"/>
      <c r="N4" s="43" t="s">
        <v>127</v>
      </c>
      <c r="O4" s="43" t="s">
        <v>9</v>
      </c>
      <c r="P4" s="43" t="s">
        <v>40</v>
      </c>
      <c r="Q4" s="43" t="s">
        <v>9</v>
      </c>
      <c r="R4" s="43" t="s">
        <v>139</v>
      </c>
      <c r="S4" s="43" t="s">
        <v>9</v>
      </c>
      <c r="T4" s="50" t="s">
        <v>142</v>
      </c>
      <c r="U4" s="43" t="s">
        <v>9</v>
      </c>
      <c r="V4" s="43" t="s">
        <v>74</v>
      </c>
      <c r="W4" s="43" t="s">
        <v>9</v>
      </c>
      <c r="X4" s="1" t="s">
        <v>144</v>
      </c>
      <c r="Y4" s="43" t="s">
        <v>9</v>
      </c>
      <c r="Z4" s="43"/>
      <c r="AA4" s="43" t="s">
        <v>43</v>
      </c>
      <c r="AB4" s="43" t="s">
        <v>9</v>
      </c>
      <c r="AC4" s="43" t="s">
        <v>44</v>
      </c>
      <c r="AD4" s="43" t="s">
        <v>9</v>
      </c>
      <c r="AF4" s="50" t="s">
        <v>147</v>
      </c>
      <c r="AG4" s="43" t="s">
        <v>9</v>
      </c>
      <c r="AH4" s="43" t="s">
        <v>46</v>
      </c>
      <c r="AI4" s="43" t="s">
        <v>9</v>
      </c>
      <c r="AJ4" s="1" t="s">
        <v>91</v>
      </c>
      <c r="AK4" s="43" t="s">
        <v>9</v>
      </c>
      <c r="AL4" s="51" t="s">
        <v>46</v>
      </c>
      <c r="AM4" s="43" t="s">
        <v>9</v>
      </c>
      <c r="AO4" s="51" t="s">
        <v>148</v>
      </c>
      <c r="AP4" s="43" t="s">
        <v>9</v>
      </c>
      <c r="AQ4" s="51" t="s">
        <v>149</v>
      </c>
      <c r="AR4" s="43" t="s">
        <v>9</v>
      </c>
      <c r="AS4" s="51" t="s">
        <v>47</v>
      </c>
      <c r="AT4" s="43" t="s">
        <v>9</v>
      </c>
      <c r="AU4" s="43" t="s">
        <v>64</v>
      </c>
      <c r="AV4" s="43" t="s">
        <v>9</v>
      </c>
      <c r="AW4" s="43" t="s">
        <v>75</v>
      </c>
      <c r="AX4" s="43" t="s">
        <v>9</v>
      </c>
      <c r="AY4" s="43" t="s">
        <v>76</v>
      </c>
      <c r="AZ4" s="43" t="s">
        <v>9</v>
      </c>
      <c r="BA4" s="51" t="s">
        <v>77</v>
      </c>
      <c r="BB4" s="43" t="s">
        <v>9</v>
      </c>
      <c r="BC4" s="51" t="s">
        <v>48</v>
      </c>
      <c r="BD4" s="43" t="s">
        <v>9</v>
      </c>
      <c r="BF4" s="43" t="s">
        <v>49</v>
      </c>
      <c r="BG4" s="43" t="s">
        <v>9</v>
      </c>
      <c r="BI4" s="51" t="s">
        <v>51</v>
      </c>
      <c r="BJ4" s="43" t="s">
        <v>9</v>
      </c>
      <c r="BK4" s="51" t="s">
        <v>52</v>
      </c>
      <c r="BL4" s="43" t="s">
        <v>9</v>
      </c>
      <c r="BM4" s="43"/>
      <c r="BN4" s="1" t="s">
        <v>53</v>
      </c>
      <c r="BO4" s="43" t="s">
        <v>9</v>
      </c>
      <c r="BP4" s="1" t="s">
        <v>65</v>
      </c>
      <c r="BQ4" s="43" t="s">
        <v>9</v>
      </c>
      <c r="BR4" s="43" t="s">
        <v>56</v>
      </c>
      <c r="BS4" s="43" t="s">
        <v>9</v>
      </c>
      <c r="BT4" s="43"/>
      <c r="BU4" s="51" t="s">
        <v>151</v>
      </c>
      <c r="BV4" s="43" t="s">
        <v>9</v>
      </c>
      <c r="BW4" s="51" t="s">
        <v>61</v>
      </c>
      <c r="BX4" s="43" t="s">
        <v>9</v>
      </c>
      <c r="BY4" s="43"/>
      <c r="BZ4" s="43" t="s">
        <v>57</v>
      </c>
      <c r="CA4" s="43" t="s">
        <v>9</v>
      </c>
      <c r="CB4" s="43"/>
      <c r="CC4" s="51" t="s">
        <v>58</v>
      </c>
      <c r="CD4" s="43" t="s">
        <v>9</v>
      </c>
      <c r="CE4" s="51" t="s">
        <v>92</v>
      </c>
      <c r="CF4" s="43" t="s">
        <v>9</v>
      </c>
      <c r="CG4" s="43"/>
      <c r="CH4" s="51" t="s">
        <v>59</v>
      </c>
      <c r="CI4" s="43" t="s">
        <v>9</v>
      </c>
      <c r="CJ4" s="43" t="s">
        <v>80</v>
      </c>
      <c r="CK4" s="43" t="s">
        <v>9</v>
      </c>
      <c r="CL4" s="52" t="s">
        <v>81</v>
      </c>
      <c r="CM4" s="21" t="s">
        <v>9</v>
      </c>
      <c r="CN4" s="51" t="s">
        <v>84</v>
      </c>
      <c r="CO4" s="43" t="s">
        <v>9</v>
      </c>
      <c r="CP4" s="51" t="s">
        <v>62</v>
      </c>
      <c r="CQ4" s="43" t="s">
        <v>9</v>
      </c>
      <c r="CR4" s="1" t="s">
        <v>63</v>
      </c>
      <c r="CS4" s="43" t="s">
        <v>9</v>
      </c>
      <c r="CT4" s="1" t="s">
        <v>84</v>
      </c>
      <c r="CU4" s="43" t="s">
        <v>9</v>
      </c>
      <c r="CV4" s="1" t="s">
        <v>85</v>
      </c>
      <c r="CW4" s="43" t="s">
        <v>9</v>
      </c>
      <c r="CX4" s="1" t="s">
        <v>86</v>
      </c>
      <c r="CY4" s="43" t="s">
        <v>9</v>
      </c>
      <c r="CZ4" s="1" t="s">
        <v>87</v>
      </c>
      <c r="DA4" s="43" t="s">
        <v>9</v>
      </c>
      <c r="DB4" s="1" t="s">
        <v>88</v>
      </c>
      <c r="DC4" s="43" t="s">
        <v>9</v>
      </c>
      <c r="DD4" s="1" t="s">
        <v>89</v>
      </c>
      <c r="DE4" s="43" t="s">
        <v>9</v>
      </c>
      <c r="DF4" s="1" t="s">
        <v>90</v>
      </c>
      <c r="DG4" s="43" t="s">
        <v>9</v>
      </c>
      <c r="DH4" s="43"/>
      <c r="DI4" s="51" t="s">
        <v>145</v>
      </c>
      <c r="DJ4" s="43" t="s">
        <v>9</v>
      </c>
      <c r="DK4" s="21" t="s">
        <v>93</v>
      </c>
      <c r="DL4" s="21" t="s">
        <v>9</v>
      </c>
      <c r="DM4" s="21" t="s">
        <v>94</v>
      </c>
      <c r="DN4" s="21" t="s">
        <v>9</v>
      </c>
      <c r="DP4" s="21" t="s">
        <v>96</v>
      </c>
      <c r="DQ4" s="21" t="s">
        <v>9</v>
      </c>
      <c r="DR4" s="21" t="s">
        <v>97</v>
      </c>
      <c r="DS4" s="21" t="s">
        <v>9</v>
      </c>
      <c r="DU4" s="21" t="s">
        <v>98</v>
      </c>
      <c r="DV4" s="21" t="s">
        <v>9</v>
      </c>
    </row>
    <row r="5" spans="1:126" hidden="1">
      <c r="A5" s="1" t="s">
        <v>129</v>
      </c>
      <c r="B5" s="1">
        <v>20269</v>
      </c>
      <c r="C5" s="1">
        <v>100</v>
      </c>
      <c r="D5" s="1">
        <v>75882</v>
      </c>
      <c r="E5" s="1">
        <v>100</v>
      </c>
      <c r="F5" s="1">
        <v>41848</v>
      </c>
      <c r="G5" s="1">
        <v>100</v>
      </c>
      <c r="I5" s="1">
        <v>16815</v>
      </c>
      <c r="J5" s="1">
        <v>100</v>
      </c>
      <c r="K5" s="1">
        <v>1376</v>
      </c>
      <c r="L5" s="1">
        <v>100</v>
      </c>
      <c r="N5" s="1">
        <v>46780</v>
      </c>
      <c r="O5" s="1">
        <v>100</v>
      </c>
      <c r="P5" s="1">
        <v>32951</v>
      </c>
      <c r="Q5" s="1">
        <v>100</v>
      </c>
      <c r="R5" s="1">
        <v>26505</v>
      </c>
      <c r="S5" s="1">
        <v>100</v>
      </c>
      <c r="T5" s="1">
        <v>57920</v>
      </c>
      <c r="U5" s="1">
        <v>100</v>
      </c>
      <c r="V5" s="1">
        <v>25711</v>
      </c>
      <c r="W5" s="1">
        <v>100</v>
      </c>
      <c r="X5" s="1">
        <v>83572</v>
      </c>
      <c r="Y5" s="1">
        <v>100</v>
      </c>
      <c r="AA5" s="5">
        <v>36528</v>
      </c>
      <c r="AB5" s="1">
        <v>100</v>
      </c>
      <c r="AC5" s="1">
        <v>78729</v>
      </c>
      <c r="AD5" s="1">
        <v>100</v>
      </c>
      <c r="AF5" s="1">
        <v>44445</v>
      </c>
      <c r="AG5" s="1">
        <v>100</v>
      </c>
      <c r="AH5" s="1">
        <v>64679</v>
      </c>
      <c r="AI5" s="1">
        <v>100</v>
      </c>
      <c r="AJ5" s="1">
        <v>46417</v>
      </c>
      <c r="AK5" s="1">
        <v>100</v>
      </c>
      <c r="AL5" s="1">
        <v>57061</v>
      </c>
      <c r="AM5" s="1">
        <v>100</v>
      </c>
      <c r="AO5" s="1">
        <v>451235</v>
      </c>
      <c r="AP5" s="1">
        <v>100</v>
      </c>
      <c r="AQ5" s="1">
        <v>379136</v>
      </c>
      <c r="AR5" s="1">
        <v>100</v>
      </c>
      <c r="AS5" s="1">
        <v>114697</v>
      </c>
      <c r="AT5" s="1">
        <v>100</v>
      </c>
      <c r="AU5" s="1">
        <v>705700</v>
      </c>
      <c r="AV5" s="1">
        <v>100</v>
      </c>
      <c r="AW5" s="1">
        <v>705700</v>
      </c>
      <c r="AX5" s="1">
        <v>100</v>
      </c>
      <c r="AY5" s="1">
        <v>705700</v>
      </c>
      <c r="AZ5" s="1">
        <v>100</v>
      </c>
      <c r="BA5" s="1">
        <v>19192</v>
      </c>
      <c r="BB5" s="1">
        <v>100</v>
      </c>
      <c r="BC5" s="5">
        <v>171655</v>
      </c>
      <c r="BD5" s="1">
        <v>100</v>
      </c>
      <c r="BF5" s="1">
        <v>18117</v>
      </c>
      <c r="BG5" s="1">
        <v>100</v>
      </c>
      <c r="BI5" s="1">
        <v>29149</v>
      </c>
      <c r="BJ5" s="1">
        <v>100</v>
      </c>
      <c r="BK5" s="1">
        <v>22976</v>
      </c>
      <c r="BL5" s="1">
        <v>100</v>
      </c>
      <c r="BN5" s="1">
        <v>23213</v>
      </c>
      <c r="BO5" s="1">
        <v>100</v>
      </c>
      <c r="BP5" s="1">
        <v>39758</v>
      </c>
      <c r="BQ5" s="1">
        <v>100</v>
      </c>
      <c r="BR5" s="1">
        <v>11433</v>
      </c>
      <c r="BS5" s="1">
        <v>100</v>
      </c>
      <c r="BU5" s="1">
        <v>92158</v>
      </c>
      <c r="BV5" s="1">
        <v>100</v>
      </c>
      <c r="BW5" s="1">
        <v>49797</v>
      </c>
      <c r="BX5" s="1">
        <v>100</v>
      </c>
      <c r="BZ5" s="5">
        <v>15190</v>
      </c>
      <c r="CA5" s="1">
        <v>100</v>
      </c>
      <c r="CC5" s="1">
        <v>16724</v>
      </c>
      <c r="CD5" s="1">
        <v>100</v>
      </c>
      <c r="CE5" s="1">
        <v>128562</v>
      </c>
      <c r="CF5" s="1">
        <v>100</v>
      </c>
      <c r="CH5" s="1">
        <v>197007</v>
      </c>
      <c r="CI5" s="1">
        <v>100</v>
      </c>
      <c r="CJ5" s="1">
        <v>192676</v>
      </c>
      <c r="CK5" s="1">
        <v>100</v>
      </c>
      <c r="CL5" s="20">
        <v>76058</v>
      </c>
      <c r="CM5" s="20">
        <v>100</v>
      </c>
      <c r="CN5" s="1">
        <f>38955+12301+4581+1665</f>
        <v>57502</v>
      </c>
      <c r="CO5" s="1">
        <v>100</v>
      </c>
      <c r="CP5" s="1">
        <f>51192+19973</f>
        <v>71165</v>
      </c>
      <c r="CQ5" s="1">
        <v>100</v>
      </c>
      <c r="CR5" s="1">
        <v>82296</v>
      </c>
      <c r="CS5" s="1">
        <v>100</v>
      </c>
      <c r="CT5" s="1">
        <v>82296</v>
      </c>
      <c r="CU5" s="1">
        <v>100</v>
      </c>
      <c r="CV5" s="1">
        <v>82296</v>
      </c>
      <c r="CW5" s="1">
        <v>100</v>
      </c>
      <c r="CX5" s="1">
        <v>82296</v>
      </c>
      <c r="CY5" s="1">
        <v>100</v>
      </c>
      <c r="CZ5" s="1">
        <v>82296</v>
      </c>
      <c r="DA5" s="1">
        <v>100</v>
      </c>
      <c r="DB5" s="1">
        <v>82296</v>
      </c>
      <c r="DC5" s="1">
        <v>100</v>
      </c>
      <c r="DD5" s="1">
        <v>82296</v>
      </c>
      <c r="DE5" s="1">
        <v>100</v>
      </c>
      <c r="DF5" s="1">
        <v>82296</v>
      </c>
      <c r="DG5" s="1">
        <v>100</v>
      </c>
      <c r="DI5" s="1">
        <v>51171</v>
      </c>
      <c r="DJ5" s="1">
        <v>100</v>
      </c>
      <c r="DK5" s="20">
        <v>192676</v>
      </c>
      <c r="DL5" s="20">
        <v>100</v>
      </c>
      <c r="DM5" s="20">
        <v>192676</v>
      </c>
      <c r="DN5" s="20">
        <v>100</v>
      </c>
      <c r="DP5" s="20">
        <v>192676</v>
      </c>
      <c r="DQ5" s="20">
        <v>100</v>
      </c>
      <c r="DR5" s="20">
        <v>192676</v>
      </c>
      <c r="DS5" s="20">
        <v>100</v>
      </c>
      <c r="DU5" s="20">
        <v>192676</v>
      </c>
      <c r="DV5" s="20">
        <v>100</v>
      </c>
    </row>
    <row r="6" spans="1:126" hidden="1">
      <c r="A6" s="1" t="s">
        <v>130</v>
      </c>
      <c r="B6" s="4"/>
      <c r="D6" s="4">
        <v>0</v>
      </c>
      <c r="F6" s="4">
        <v>0</v>
      </c>
      <c r="I6" s="4">
        <v>0</v>
      </c>
      <c r="N6" s="4">
        <v>1832</v>
      </c>
      <c r="P6" s="4">
        <v>355</v>
      </c>
      <c r="R6" s="4">
        <v>387</v>
      </c>
      <c r="T6" s="4">
        <v>911</v>
      </c>
      <c r="V6" s="4">
        <v>0</v>
      </c>
      <c r="X6" s="4">
        <v>682</v>
      </c>
      <c r="AA6" s="4">
        <v>0</v>
      </c>
      <c r="AC6" s="4">
        <v>0</v>
      </c>
      <c r="AF6" s="4">
        <v>0</v>
      </c>
      <c r="AJ6" s="4">
        <v>0</v>
      </c>
      <c r="AL6" s="4">
        <v>1693</v>
      </c>
      <c r="AO6" s="4">
        <v>0</v>
      </c>
      <c r="AQ6" s="4">
        <v>0</v>
      </c>
      <c r="AS6" s="4">
        <v>1387</v>
      </c>
      <c r="AU6" s="4">
        <v>0</v>
      </c>
      <c r="AW6" s="4">
        <v>0</v>
      </c>
      <c r="AY6" s="4">
        <v>0</v>
      </c>
      <c r="BA6" s="4">
        <v>119</v>
      </c>
      <c r="BC6" s="4">
        <v>0</v>
      </c>
      <c r="BI6" s="4">
        <v>0</v>
      </c>
      <c r="BK6" s="4">
        <v>0</v>
      </c>
      <c r="BN6" s="4">
        <v>0</v>
      </c>
      <c r="BP6" s="4">
        <v>0</v>
      </c>
      <c r="BR6" s="4">
        <v>0</v>
      </c>
      <c r="BU6" s="4">
        <v>215</v>
      </c>
      <c r="BW6" s="4">
        <v>0</v>
      </c>
      <c r="BZ6" s="4">
        <v>0</v>
      </c>
      <c r="CC6" s="4">
        <v>0</v>
      </c>
      <c r="CE6" s="4">
        <v>0</v>
      </c>
      <c r="CH6" s="4">
        <v>0</v>
      </c>
      <c r="CJ6" s="4">
        <v>0</v>
      </c>
      <c r="CL6" s="4">
        <v>0</v>
      </c>
      <c r="CM6" s="20"/>
      <c r="CN6" s="4">
        <f>34350-29548</f>
        <v>4802</v>
      </c>
      <c r="CP6" s="4">
        <f>8690+768+2012+322+11940+2632</f>
        <v>26364</v>
      </c>
      <c r="CR6" s="4">
        <v>0</v>
      </c>
      <c r="CT6" s="4">
        <v>0</v>
      </c>
      <c r="CV6" s="4">
        <v>0</v>
      </c>
      <c r="CX6" s="4">
        <v>0</v>
      </c>
      <c r="CZ6" s="4">
        <v>0</v>
      </c>
      <c r="DB6" s="4">
        <v>0</v>
      </c>
      <c r="DD6" s="4">
        <v>0</v>
      </c>
      <c r="DF6" s="4">
        <v>0</v>
      </c>
      <c r="DI6" s="4">
        <v>0</v>
      </c>
      <c r="DK6" s="4">
        <v>0</v>
      </c>
      <c r="DL6" s="20"/>
      <c r="DM6" s="4">
        <v>0</v>
      </c>
      <c r="DN6" s="20"/>
      <c r="DP6" s="4">
        <v>0</v>
      </c>
      <c r="DQ6" s="20"/>
      <c r="DR6" s="4">
        <v>0</v>
      </c>
      <c r="DS6" s="20"/>
      <c r="DU6" s="4">
        <v>0</v>
      </c>
      <c r="DV6" s="20"/>
    </row>
    <row r="7" spans="1:126" hidden="1">
      <c r="A7" s="1" t="s">
        <v>131</v>
      </c>
      <c r="B7" s="1">
        <f>SUM(B5:B6)</f>
        <v>20269</v>
      </c>
      <c r="D7" s="1">
        <f>SUM(D5:D6)</f>
        <v>75882</v>
      </c>
      <c r="F7" s="1">
        <f>SUM(F5:F6)</f>
        <v>41848</v>
      </c>
      <c r="I7" s="1">
        <f>SUM(I5:I6)</f>
        <v>16815</v>
      </c>
      <c r="N7" s="1">
        <f>SUM(N5:N6)</f>
        <v>48612</v>
      </c>
      <c r="P7" s="1">
        <f>SUM(P5:P6)</f>
        <v>33306</v>
      </c>
      <c r="R7" s="1">
        <f>SUM(R5:R6)</f>
        <v>26892</v>
      </c>
      <c r="T7" s="1">
        <f>SUM(T5:T6)</f>
        <v>58831</v>
      </c>
      <c r="V7" s="1">
        <f>SUM(V5:V6)</f>
        <v>25711</v>
      </c>
      <c r="X7" s="1">
        <f>SUM(X5:X6)</f>
        <v>84254</v>
      </c>
      <c r="AA7" s="1">
        <f>SUM(AA5:AA6)</f>
        <v>36528</v>
      </c>
      <c r="AC7" s="1">
        <f>SUM(AC5:AC6)</f>
        <v>78729</v>
      </c>
      <c r="AF7" s="1">
        <f>SUM(AF5:AF6)</f>
        <v>44445</v>
      </c>
      <c r="AJ7" s="1">
        <f>SUM(AJ5:AJ6)</f>
        <v>46417</v>
      </c>
      <c r="AL7" s="1">
        <f>SUM(AL5:AL6)</f>
        <v>58754</v>
      </c>
      <c r="AO7" s="1">
        <f>SUM(AO5:AO6)</f>
        <v>451235</v>
      </c>
      <c r="AQ7" s="1">
        <f>SUM(AQ5:AQ6)</f>
        <v>379136</v>
      </c>
      <c r="AS7" s="1">
        <f>SUM(AS5:AS6)</f>
        <v>116084</v>
      </c>
      <c r="AU7" s="1">
        <f>SUM(AU5:AU6)</f>
        <v>705700</v>
      </c>
      <c r="AW7" s="1">
        <f>SUM(AW5:AW6)</f>
        <v>705700</v>
      </c>
      <c r="AY7" s="1">
        <f>SUM(AY5:AY6)</f>
        <v>705700</v>
      </c>
      <c r="BA7" s="1">
        <f>SUM(BA5:BA6)</f>
        <v>19311</v>
      </c>
      <c r="BC7" s="1">
        <f>SUM(BC5:BC6)</f>
        <v>171655</v>
      </c>
      <c r="BI7" s="1">
        <f>SUM(BI5:BI6)</f>
        <v>29149</v>
      </c>
      <c r="BK7" s="1">
        <f>SUM(BK5:BK6)</f>
        <v>22976</v>
      </c>
      <c r="BN7" s="1">
        <f>SUM(BN5:BN6)</f>
        <v>23213</v>
      </c>
      <c r="BP7" s="1">
        <f>SUM(BP5:BP6)</f>
        <v>39758</v>
      </c>
      <c r="BR7" s="1">
        <f>SUM(BR5:BR6)</f>
        <v>11433</v>
      </c>
      <c r="BU7" s="1">
        <f>SUM(BU5:BU6)</f>
        <v>92373</v>
      </c>
      <c r="BW7" s="1">
        <f>SUM(BW5:BW6)</f>
        <v>49797</v>
      </c>
      <c r="BZ7" s="1">
        <f>SUM(BZ5:BZ6)</f>
        <v>15190</v>
      </c>
      <c r="CC7" s="1">
        <f>SUM(CC5:CC6)</f>
        <v>16724</v>
      </c>
      <c r="CE7" s="1">
        <f>SUM(CE5:CE6)</f>
        <v>128562</v>
      </c>
      <c r="CH7" s="1">
        <f>SUM(CH5:CH6)</f>
        <v>197007</v>
      </c>
      <c r="CJ7" s="1">
        <f>SUM(CJ5:CJ6)</f>
        <v>192676</v>
      </c>
      <c r="CL7" s="1">
        <f>SUM(CL5:CL6)</f>
        <v>76058</v>
      </c>
      <c r="CM7" s="20"/>
      <c r="CN7" s="1">
        <f>SUM(CN5:CN6)</f>
        <v>62304</v>
      </c>
      <c r="CP7" s="1">
        <f>SUM(CP5:CP6)</f>
        <v>97529</v>
      </c>
      <c r="CR7" s="1">
        <f>SUM(CR5:CR6)</f>
        <v>82296</v>
      </c>
      <c r="CT7" s="1">
        <f>SUM(CT5:CT6)</f>
        <v>82296</v>
      </c>
      <c r="CV7" s="1">
        <f>SUM(CV5:CV6)</f>
        <v>82296</v>
      </c>
      <c r="CX7" s="1">
        <f>SUM(CX5:CX6)</f>
        <v>82296</v>
      </c>
      <c r="CZ7" s="1">
        <f>SUM(CZ5:CZ6)</f>
        <v>82296</v>
      </c>
      <c r="DB7" s="1">
        <f>SUM(DB5:DB6)</f>
        <v>82296</v>
      </c>
      <c r="DD7" s="1">
        <f>SUM(DD5:DD6)</f>
        <v>82296</v>
      </c>
      <c r="DF7" s="1">
        <f>SUM(DF5:DF6)</f>
        <v>82296</v>
      </c>
      <c r="DI7" s="1">
        <f>SUM(DI5:DI6)</f>
        <v>51171</v>
      </c>
      <c r="DK7" s="1">
        <f>SUM(DK5:DK6)</f>
        <v>192676</v>
      </c>
      <c r="DL7" s="20"/>
      <c r="DM7" s="1">
        <f>SUM(DM5:DM6)</f>
        <v>192676</v>
      </c>
      <c r="DN7" s="20"/>
      <c r="DP7" s="1">
        <f>SUM(DP5:DP6)</f>
        <v>192676</v>
      </c>
      <c r="DQ7" s="20"/>
      <c r="DR7" s="1">
        <f>SUM(DR5:DR6)</f>
        <v>192676</v>
      </c>
      <c r="DS7" s="20"/>
      <c r="DU7" s="1">
        <f>SUM(DU5:DU6)</f>
        <v>192676</v>
      </c>
      <c r="DV7" s="20"/>
    </row>
    <row r="8" spans="1:126" hidden="1">
      <c r="A8" s="1" t="s">
        <v>0</v>
      </c>
      <c r="B8" s="4">
        <v>-16324</v>
      </c>
      <c r="D8" s="4">
        <v>-55053</v>
      </c>
      <c r="F8" s="4">
        <v>-29856</v>
      </c>
      <c r="I8" s="4">
        <v>-4999</v>
      </c>
      <c r="K8" s="1">
        <v>-80</v>
      </c>
      <c r="N8" s="4">
        <v>-11948</v>
      </c>
      <c r="P8" s="4">
        <v>-10990</v>
      </c>
      <c r="R8" s="4">
        <v>-8585</v>
      </c>
      <c r="T8" s="4">
        <v>-19608</v>
      </c>
      <c r="V8" s="4">
        <v>-5261</v>
      </c>
      <c r="X8" s="4">
        <v>-14140</v>
      </c>
      <c r="AA8" s="30">
        <v>-17975</v>
      </c>
      <c r="AC8" s="4">
        <v>-58022</v>
      </c>
      <c r="AF8" s="4">
        <v>-30505</v>
      </c>
      <c r="AH8" s="1">
        <v>-53881</v>
      </c>
      <c r="AJ8" s="4">
        <v>-31546</v>
      </c>
      <c r="AL8" s="4"/>
      <c r="AO8" s="4">
        <f>-AO102</f>
        <v>-353971</v>
      </c>
      <c r="AQ8" s="4">
        <f>-AQ103</f>
        <v>-298351</v>
      </c>
      <c r="AS8" s="4">
        <f>-AS102</f>
        <v>-84076</v>
      </c>
      <c r="AU8" s="4"/>
      <c r="AW8" s="4"/>
      <c r="AY8" s="4"/>
      <c r="BA8" s="4">
        <f>-BA102</f>
        <v>-3016</v>
      </c>
      <c r="BC8" s="30">
        <f>-BC102</f>
        <v>-122487</v>
      </c>
      <c r="BF8" s="1">
        <v>-18730</v>
      </c>
      <c r="BI8" s="4">
        <v>-10055</v>
      </c>
      <c r="BK8" s="4">
        <v>-6602</v>
      </c>
      <c r="BN8" s="4">
        <v>-5043</v>
      </c>
      <c r="BP8" s="4">
        <v>-16447</v>
      </c>
      <c r="BR8" s="4">
        <v>-4470</v>
      </c>
      <c r="BU8" s="4">
        <v>-48111</v>
      </c>
      <c r="BW8" s="4">
        <v>-29245</v>
      </c>
      <c r="BZ8" s="30">
        <v>-3312</v>
      </c>
      <c r="CC8" s="4">
        <v>-6801</v>
      </c>
      <c r="CE8" s="4">
        <v>-52529</v>
      </c>
      <c r="CH8" s="4">
        <v>-161407</v>
      </c>
      <c r="CJ8" s="4">
        <v>-157518</v>
      </c>
      <c r="CL8" s="22">
        <v>-60784</v>
      </c>
      <c r="CM8" s="20"/>
      <c r="CN8" s="4">
        <f>-18359-5123</f>
        <v>-23482</v>
      </c>
      <c r="CP8" s="4">
        <f>-15653-3539-13692-5849</f>
        <v>-38733</v>
      </c>
      <c r="CR8" s="4"/>
      <c r="CT8" s="4"/>
      <c r="CV8" s="4"/>
      <c r="CX8" s="4"/>
      <c r="CZ8" s="4"/>
      <c r="DB8" s="4"/>
      <c r="DD8" s="4"/>
      <c r="DF8" s="4"/>
      <c r="DI8" s="4">
        <f>-DI102</f>
        <v>-9439</v>
      </c>
      <c r="DK8" s="22">
        <v>-157518</v>
      </c>
      <c r="DL8" s="20"/>
      <c r="DM8" s="22">
        <v>-157518</v>
      </c>
      <c r="DN8" s="20"/>
      <c r="DP8" s="22">
        <v>-157518</v>
      </c>
      <c r="DQ8" s="20"/>
      <c r="DR8" s="22">
        <v>-157518</v>
      </c>
      <c r="DS8" s="20"/>
      <c r="DU8" s="22">
        <v>-157518</v>
      </c>
      <c r="DV8" s="20"/>
    </row>
    <row r="9" spans="1:126" hidden="1">
      <c r="A9" s="1" t="s">
        <v>1</v>
      </c>
      <c r="B9" s="1">
        <f>SUM(B7:B8)</f>
        <v>3945</v>
      </c>
      <c r="C9" s="3">
        <f>B9/B5</f>
        <v>0.19463219695100892</v>
      </c>
      <c r="D9" s="1">
        <f>SUM(D7:D8)</f>
        <v>20829</v>
      </c>
      <c r="E9" s="3">
        <f>D9/D5</f>
        <v>0.2744919743812762</v>
      </c>
      <c r="F9" s="1">
        <f>SUM(F7:F8)</f>
        <v>11992</v>
      </c>
      <c r="G9" s="3">
        <f>F9/F5</f>
        <v>0.28656088701969029</v>
      </c>
      <c r="H9" s="3"/>
      <c r="I9" s="1">
        <f>SUM(I7:I8)</f>
        <v>11816</v>
      </c>
      <c r="J9" s="3">
        <f>I9/I5</f>
        <v>0.70270591733571219</v>
      </c>
      <c r="K9" s="1">
        <f>K5+K10</f>
        <v>1296</v>
      </c>
      <c r="L9" s="3">
        <f>K9/K5</f>
        <v>0.94186046511627908</v>
      </c>
      <c r="M9" s="3"/>
      <c r="N9" s="1">
        <f>SUM(N7:N8)</f>
        <v>36664</v>
      </c>
      <c r="O9" s="3">
        <f>N9/N5</f>
        <v>0.78375374091492089</v>
      </c>
      <c r="P9" s="1">
        <f>SUM(P7:P8)</f>
        <v>22316</v>
      </c>
      <c r="Q9" s="3">
        <f>P9/P5</f>
        <v>0.67724803496100272</v>
      </c>
      <c r="R9" s="1">
        <f>SUM(R7:R8)</f>
        <v>18307</v>
      </c>
      <c r="S9" s="3">
        <f>R9/R5</f>
        <v>0.69069986794944349</v>
      </c>
      <c r="T9" s="1">
        <f>SUM(T7:T8)</f>
        <v>39223</v>
      </c>
      <c r="U9" s="3">
        <f>T9/T5</f>
        <v>0.6771926795580111</v>
      </c>
      <c r="V9" s="1">
        <f>SUM(V7:V8)</f>
        <v>20450</v>
      </c>
      <c r="W9" s="3">
        <f>V9/V5</f>
        <v>0.79537940959122555</v>
      </c>
      <c r="X9" s="1">
        <f>SUM(X7:X8)</f>
        <v>70114</v>
      </c>
      <c r="Y9" s="3">
        <f>X9/X5</f>
        <v>0.83896520365672711</v>
      </c>
      <c r="Z9" s="3"/>
      <c r="AA9" s="1">
        <f>SUM(AA7:AA8)</f>
        <v>18553</v>
      </c>
      <c r="AB9" s="3">
        <f>AA9/AA5</f>
        <v>0.5079117389399912</v>
      </c>
      <c r="AC9" s="1">
        <f>SUM(AC7:AC8)</f>
        <v>20707</v>
      </c>
      <c r="AD9" s="3">
        <f>AC9/AC5</f>
        <v>0.26301616939120276</v>
      </c>
      <c r="AF9" s="1">
        <f>SUM(AF7:AF8)</f>
        <v>13940</v>
      </c>
      <c r="AG9" s="3">
        <f>AF9/AF5</f>
        <v>0.31364607942400718</v>
      </c>
      <c r="AH9" s="1">
        <f>AH5+AH10</f>
        <v>10798</v>
      </c>
      <c r="AI9" s="3">
        <f>AH9/AH5</f>
        <v>0.16694754093291486</v>
      </c>
      <c r="AJ9" s="1">
        <f>SUM(AJ7:AJ8)</f>
        <v>14871</v>
      </c>
      <c r="AK9" s="3">
        <f>AJ9/AJ5</f>
        <v>0.32037830967102571</v>
      </c>
      <c r="AM9" s="3">
        <f>AL9/AL5</f>
        <v>0</v>
      </c>
      <c r="AO9" s="1">
        <f>SUM(AO7:AO8)</f>
        <v>97264</v>
      </c>
      <c r="AP9" s="3">
        <f>AO9/AO5</f>
        <v>0.21555065542344898</v>
      </c>
      <c r="AQ9" s="1">
        <f>SUM(AQ7:AQ8)</f>
        <v>80785</v>
      </c>
      <c r="AR9" s="3">
        <f>AQ9/AQ5</f>
        <v>0.21307657410533423</v>
      </c>
      <c r="AS9" s="1">
        <f>SUM(AS7:AS8)</f>
        <v>32008</v>
      </c>
      <c r="AT9" s="3">
        <f>AS9/AS5</f>
        <v>0.27906571226797561</v>
      </c>
      <c r="AU9" s="1">
        <f>SUM(AU7:AU8)</f>
        <v>705700</v>
      </c>
      <c r="AV9" s="3">
        <f>AU9/AU5</f>
        <v>1</v>
      </c>
      <c r="AW9" s="1">
        <f>SUM(AW7:AW8)</f>
        <v>705700</v>
      </c>
      <c r="AX9" s="3">
        <f>AW9/AW5</f>
        <v>1</v>
      </c>
      <c r="AY9" s="1">
        <f>SUM(AY7:AY8)</f>
        <v>705700</v>
      </c>
      <c r="AZ9" s="3">
        <f>AY9/AY5</f>
        <v>1</v>
      </c>
      <c r="BA9" s="1">
        <f>SUM(BA7:BA8)</f>
        <v>16295</v>
      </c>
      <c r="BB9" s="3">
        <f>BA9/BA5</f>
        <v>0.84905168820341814</v>
      </c>
      <c r="BC9" s="1">
        <f>SUM(BC7:BC8)</f>
        <v>49168</v>
      </c>
      <c r="BD9" s="3">
        <f>BC9/BC5</f>
        <v>0.28643500043692288</v>
      </c>
      <c r="BF9" s="1">
        <f>BF5+BF10</f>
        <v>-613</v>
      </c>
      <c r="BG9" s="3">
        <f>BF9/BF5</f>
        <v>-3.3835623999558424E-2</v>
      </c>
      <c r="BI9" s="1">
        <f>SUM(BI7:BI8)</f>
        <v>19094</v>
      </c>
      <c r="BJ9" s="3">
        <f>BI9/BI5</f>
        <v>0.65504820062437819</v>
      </c>
      <c r="BK9" s="1">
        <f>SUM(BK7:BK8)</f>
        <v>16374</v>
      </c>
      <c r="BL9" s="3">
        <f>BK9/BK5</f>
        <v>0.71265668523676884</v>
      </c>
      <c r="BM9" s="3"/>
      <c r="BN9" s="1">
        <f>SUM(BN7:BN8)</f>
        <v>18170</v>
      </c>
      <c r="BO9" s="3">
        <f>BN9/BN5</f>
        <v>0.78275104467324341</v>
      </c>
      <c r="BP9" s="1">
        <f>SUM(BP7:BP8)</f>
        <v>23311</v>
      </c>
      <c r="BQ9" s="3">
        <f>BP9/BP5</f>
        <v>0.58632224961014134</v>
      </c>
      <c r="BR9" s="1">
        <f>SUM(BR7:BR8)</f>
        <v>6963</v>
      </c>
      <c r="BS9" s="3">
        <f>BR9/BR5</f>
        <v>0.60902650223038568</v>
      </c>
      <c r="BT9" s="3"/>
      <c r="BU9" s="1">
        <f>SUM(BU7:BU8)</f>
        <v>44262</v>
      </c>
      <c r="BV9" s="3">
        <f>BU9/BU5</f>
        <v>0.48028386032683001</v>
      </c>
      <c r="BW9" s="1">
        <f>SUM(BW7:BW8)</f>
        <v>20552</v>
      </c>
      <c r="BX9" s="3">
        <f>BW9/BW5</f>
        <v>0.41271562543928347</v>
      </c>
      <c r="BY9" s="3"/>
      <c r="BZ9" s="1">
        <f>SUM(BZ7:BZ8)</f>
        <v>11878</v>
      </c>
      <c r="CA9" s="3">
        <f>BZ9/BZ5</f>
        <v>0.78196181698485845</v>
      </c>
      <c r="CB9" s="3"/>
      <c r="CC9" s="1">
        <f>SUM(CC7:CC8)</f>
        <v>9923</v>
      </c>
      <c r="CD9" s="3">
        <f>CC9/CC5</f>
        <v>0.59333891413537432</v>
      </c>
      <c r="CE9" s="1">
        <f>SUM(CE7:CE8)</f>
        <v>76033</v>
      </c>
      <c r="CF9" s="3">
        <f>CE9/CE5</f>
        <v>0.59141114792862592</v>
      </c>
      <c r="CG9" s="3"/>
      <c r="CH9" s="1">
        <f>SUM(CH7:CH8)</f>
        <v>35600</v>
      </c>
      <c r="CI9" s="3">
        <f>CH9/CH5</f>
        <v>0.18070423893567233</v>
      </c>
      <c r="CJ9" s="1">
        <f>SUM(CJ7:CJ8)</f>
        <v>35158</v>
      </c>
      <c r="CK9" s="3">
        <f>CJ9/CJ5</f>
        <v>0.1824721293778156</v>
      </c>
      <c r="CL9" s="1">
        <f>SUM(CL7:CL8)</f>
        <v>15274</v>
      </c>
      <c r="CM9" s="23">
        <v>0.18</v>
      </c>
      <c r="CN9" s="1">
        <f>SUM(CN7:CN8)</f>
        <v>38822</v>
      </c>
      <c r="CO9" s="3">
        <f>CN9/CN5</f>
        <v>0.67514173420054957</v>
      </c>
      <c r="CP9" s="1">
        <f>SUM(CP7:CP8)</f>
        <v>58796</v>
      </c>
      <c r="CQ9" s="3">
        <f>CP9/CP5</f>
        <v>0.82619265088175364</v>
      </c>
      <c r="CR9" s="1">
        <f>SUM(CR7:CR8)</f>
        <v>82296</v>
      </c>
      <c r="CS9" s="3">
        <f>CR9/CR5</f>
        <v>1</v>
      </c>
      <c r="CT9" s="1">
        <f>SUM(CT7:CT8)</f>
        <v>82296</v>
      </c>
      <c r="CU9" s="3">
        <f>CT9/CT5</f>
        <v>1</v>
      </c>
      <c r="CV9" s="1">
        <f>SUM(CV7:CV8)</f>
        <v>82296</v>
      </c>
      <c r="CW9" s="3">
        <f>CV9/CV5</f>
        <v>1</v>
      </c>
      <c r="CX9" s="1">
        <f>SUM(CX7:CX8)</f>
        <v>82296</v>
      </c>
      <c r="CY9" s="3">
        <f>CX9/CX5</f>
        <v>1</v>
      </c>
      <c r="CZ9" s="1">
        <f>SUM(CZ7:CZ8)</f>
        <v>82296</v>
      </c>
      <c r="DA9" s="3">
        <f>CZ9/CZ5</f>
        <v>1</v>
      </c>
      <c r="DB9" s="1">
        <f>SUM(DB7:DB8)</f>
        <v>82296</v>
      </c>
      <c r="DC9" s="3">
        <f>DB9/DB5</f>
        <v>1</v>
      </c>
      <c r="DD9" s="1">
        <f>SUM(DD7:DD8)</f>
        <v>82296</v>
      </c>
      <c r="DE9" s="3">
        <f>DD9/DD5</f>
        <v>1</v>
      </c>
      <c r="DF9" s="1">
        <f>SUM(DF7:DF8)</f>
        <v>82296</v>
      </c>
      <c r="DG9" s="3">
        <f>DF9/DF5</f>
        <v>1</v>
      </c>
      <c r="DH9" s="3"/>
      <c r="DI9" s="1">
        <f>SUM(DI7:DI8)</f>
        <v>41732</v>
      </c>
      <c r="DJ9" s="3">
        <f>DI9/DI5</f>
        <v>0.81554005198256829</v>
      </c>
      <c r="DK9" s="1">
        <f>SUM(DK7:DK8)</f>
        <v>35158</v>
      </c>
      <c r="DL9" s="23">
        <v>0.18</v>
      </c>
      <c r="DM9" s="1">
        <f>SUM(DM7:DM8)</f>
        <v>35158</v>
      </c>
      <c r="DN9" s="23">
        <v>0.18</v>
      </c>
      <c r="DP9" s="1">
        <f>SUM(DP7:DP8)</f>
        <v>35158</v>
      </c>
      <c r="DQ9" s="23">
        <v>0.18</v>
      </c>
      <c r="DR9" s="1">
        <f>SUM(DR7:DR8)</f>
        <v>35158</v>
      </c>
      <c r="DS9" s="23">
        <v>0.18</v>
      </c>
      <c r="DU9" s="1">
        <f>SUM(DU7:DU8)</f>
        <v>35158</v>
      </c>
      <c r="DV9" s="23">
        <v>0.18</v>
      </c>
    </row>
    <row r="10" spans="1:126" s="6" customFormat="1" hidden="1">
      <c r="A10" s="6" t="s">
        <v>73</v>
      </c>
      <c r="K10" s="6">
        <v>-80</v>
      </c>
      <c r="AH10" s="6">
        <v>-53881</v>
      </c>
      <c r="AL10" s="6">
        <f>-17041-7208-15428</f>
        <v>-39677</v>
      </c>
      <c r="AO10" s="6">
        <f>-353199-28386-14675-5278+AO102</f>
        <v>-47567</v>
      </c>
      <c r="AQ10" s="6">
        <f>-298351-27527-7047-3441-13070+459+AQ103</f>
        <v>-50626</v>
      </c>
      <c r="AS10" s="6">
        <f>-90003-5301+AS102</f>
        <v>-11228</v>
      </c>
      <c r="AU10" s="6">
        <v>-516800</v>
      </c>
      <c r="AW10" s="6">
        <v>-516800</v>
      </c>
      <c r="AY10" s="6">
        <v>-516800</v>
      </c>
      <c r="BA10" s="6">
        <f>-11827+2954+BA102</f>
        <v>-5857</v>
      </c>
      <c r="BC10" s="6">
        <f>-121113-21687-1633+BC102</f>
        <v>-21946</v>
      </c>
      <c r="BF10" s="6">
        <v>-18730</v>
      </c>
      <c r="CC10" s="6">
        <v>-5998</v>
      </c>
      <c r="CL10" s="29"/>
      <c r="CM10" s="29"/>
      <c r="CN10" s="6">
        <f>-14842-9714</f>
        <v>-24556</v>
      </c>
      <c r="CP10" s="6">
        <f>-19196-17065-1364-931</f>
        <v>-38556</v>
      </c>
      <c r="CR10" s="6">
        <v>-38170</v>
      </c>
      <c r="CT10" s="6">
        <v>-38170</v>
      </c>
      <c r="CV10" s="6">
        <v>-38170</v>
      </c>
      <c r="CX10" s="6">
        <v>-38170</v>
      </c>
      <c r="CZ10" s="6">
        <v>-38170</v>
      </c>
      <c r="DB10" s="6">
        <v>-38170</v>
      </c>
      <c r="DD10" s="6">
        <v>-38170</v>
      </c>
      <c r="DF10" s="6">
        <v>-38170</v>
      </c>
      <c r="DI10" s="6">
        <f>-36104+DI102</f>
        <v>-26665</v>
      </c>
      <c r="DK10" s="29"/>
      <c r="DL10" s="29"/>
      <c r="DM10" s="29"/>
      <c r="DN10" s="29"/>
      <c r="DP10" s="29"/>
      <c r="DQ10" s="29"/>
      <c r="DR10" s="29"/>
      <c r="DS10" s="29"/>
      <c r="DU10" s="29"/>
      <c r="DV10" s="29"/>
    </row>
    <row r="11" spans="1:126" hidden="1">
      <c r="A11" s="1" t="s">
        <v>41</v>
      </c>
      <c r="B11" s="1">
        <v>-737</v>
      </c>
      <c r="C11" s="3"/>
      <c r="D11" s="1">
        <v>-4291</v>
      </c>
      <c r="E11" s="3"/>
      <c r="F11" s="1">
        <v>-1470</v>
      </c>
      <c r="G11" s="3"/>
      <c r="H11" s="3"/>
      <c r="I11" s="1">
        <v>-2282</v>
      </c>
      <c r="J11" s="3"/>
      <c r="L11" s="3"/>
      <c r="M11" s="3"/>
      <c r="N11" s="1">
        <v>-9270</v>
      </c>
      <c r="O11" s="3"/>
      <c r="P11" s="1">
        <v>-4770</v>
      </c>
      <c r="Q11" s="3"/>
      <c r="R11" s="1">
        <v>-3923</v>
      </c>
      <c r="S11" s="3"/>
      <c r="T11" s="1">
        <v>-9852</v>
      </c>
      <c r="U11" s="3"/>
      <c r="V11" s="1">
        <v>-4821</v>
      </c>
      <c r="W11" s="3"/>
      <c r="X11" s="1">
        <v>-11733</v>
      </c>
      <c r="Y11" s="3"/>
      <c r="Z11" s="3"/>
      <c r="AA11" s="1">
        <v>-2932</v>
      </c>
      <c r="AB11" s="3"/>
      <c r="AC11" s="1">
        <v>-1746</v>
      </c>
      <c r="AD11" s="3"/>
      <c r="AG11" s="3"/>
      <c r="AI11" s="3"/>
      <c r="AK11" s="3"/>
      <c r="AM11" s="3"/>
      <c r="AO11" s="1">
        <v>-1318</v>
      </c>
      <c r="AP11" s="3"/>
      <c r="AR11" s="3"/>
      <c r="AT11" s="3"/>
      <c r="AV11" s="3"/>
      <c r="AX11" s="3"/>
      <c r="AZ11" s="3"/>
      <c r="BB11" s="3"/>
      <c r="BD11" s="3"/>
      <c r="BG11" s="3"/>
      <c r="BJ11" s="3"/>
      <c r="BK11" s="1">
        <v>-857</v>
      </c>
      <c r="BL11" s="3"/>
      <c r="BM11" s="3"/>
      <c r="BO11" s="3"/>
      <c r="BQ11" s="3"/>
      <c r="BS11" s="3"/>
      <c r="BT11" s="3"/>
      <c r="BU11" s="1">
        <v>-1503</v>
      </c>
      <c r="BV11" s="3"/>
      <c r="BX11" s="3"/>
      <c r="BY11" s="3"/>
      <c r="CA11" s="3"/>
      <c r="CB11" s="3"/>
      <c r="CD11" s="3"/>
      <c r="CF11" s="3"/>
      <c r="CG11" s="3"/>
      <c r="CI11" s="3"/>
      <c r="CK11" s="3"/>
      <c r="CL11" s="20"/>
      <c r="CM11" s="23"/>
      <c r="CO11" s="3"/>
      <c r="CQ11" s="3"/>
      <c r="CS11" s="3"/>
      <c r="CU11" s="3"/>
      <c r="CW11" s="3"/>
      <c r="CY11" s="3"/>
      <c r="DA11" s="3"/>
      <c r="DC11" s="3"/>
      <c r="DE11" s="3"/>
      <c r="DG11" s="3"/>
      <c r="DH11" s="3"/>
      <c r="DJ11" s="3"/>
      <c r="DK11" s="20"/>
      <c r="DL11" s="23"/>
      <c r="DM11" s="20"/>
      <c r="DN11" s="23"/>
      <c r="DP11" s="20"/>
      <c r="DQ11" s="23"/>
      <c r="DR11" s="20"/>
      <c r="DS11" s="23"/>
      <c r="DU11" s="20"/>
      <c r="DV11" s="23"/>
    </row>
    <row r="12" spans="1:126" s="6" customFormat="1" hidden="1">
      <c r="A12" s="6" t="s">
        <v>2</v>
      </c>
      <c r="B12" s="6">
        <v>-1745</v>
      </c>
      <c r="D12" s="6">
        <v>-11286</v>
      </c>
      <c r="F12" s="6">
        <v>-6094</v>
      </c>
      <c r="I12" s="6">
        <f>-4131-866-70+12</f>
        <v>-5055</v>
      </c>
      <c r="K12" s="6">
        <v>-1115</v>
      </c>
      <c r="N12" s="6">
        <f>-8373-2645</f>
        <v>-11018</v>
      </c>
      <c r="P12" s="6">
        <v>-8602</v>
      </c>
      <c r="R12" s="6">
        <v>-8480</v>
      </c>
      <c r="T12" s="6">
        <f>-14549-3060</f>
        <v>-17609</v>
      </c>
      <c r="V12" s="6">
        <f>-306-12206</f>
        <v>-12512</v>
      </c>
      <c r="X12" s="6">
        <f>-23380-3508</f>
        <v>-26888</v>
      </c>
      <c r="AA12" s="6">
        <v>-11472</v>
      </c>
      <c r="AC12" s="6">
        <v>-9985</v>
      </c>
      <c r="AF12" s="6">
        <f>-3258-5199</f>
        <v>-8457</v>
      </c>
      <c r="AJ12" s="6">
        <v>-8302</v>
      </c>
      <c r="BI12" s="6">
        <f>-10849-2224</f>
        <v>-13073</v>
      </c>
      <c r="BK12" s="6">
        <f>-6886-4757</f>
        <v>-11643</v>
      </c>
      <c r="BN12" s="6">
        <v>-13967</v>
      </c>
      <c r="BP12" s="6">
        <v>-10578</v>
      </c>
      <c r="BR12" s="6">
        <v>-3532</v>
      </c>
      <c r="BU12" s="6">
        <f>-8156-19711</f>
        <v>-27867</v>
      </c>
      <c r="BW12" s="6">
        <v>-13035</v>
      </c>
      <c r="BZ12" s="6">
        <v>-6466</v>
      </c>
      <c r="CE12" s="6">
        <f>-49878-3987</f>
        <v>-53865</v>
      </c>
      <c r="CH12" s="6">
        <f>-19655-6888</f>
        <v>-26543</v>
      </c>
      <c r="CJ12" s="6">
        <v>-23647</v>
      </c>
      <c r="CL12" s="29">
        <f>-7255</f>
        <v>-7255</v>
      </c>
      <c r="CM12" s="29"/>
      <c r="CR12" s="6">
        <v>-40645</v>
      </c>
      <c r="CT12" s="6">
        <v>-40645</v>
      </c>
      <c r="CV12" s="6">
        <v>-40645</v>
      </c>
      <c r="CX12" s="6">
        <v>-40645</v>
      </c>
      <c r="CZ12" s="6">
        <v>-40645</v>
      </c>
      <c r="DB12" s="6">
        <v>-40645</v>
      </c>
      <c r="DD12" s="6">
        <v>-40645</v>
      </c>
      <c r="DF12" s="6">
        <v>-40645</v>
      </c>
      <c r="DK12" s="29">
        <v>-23647</v>
      </c>
      <c r="DL12" s="29"/>
      <c r="DM12" s="29">
        <v>-23647</v>
      </c>
      <c r="DN12" s="29"/>
      <c r="DP12" s="29">
        <v>-23647</v>
      </c>
      <c r="DQ12" s="29"/>
      <c r="DR12" s="29">
        <v>-23647</v>
      </c>
      <c r="DS12" s="29"/>
      <c r="DU12" s="29">
        <v>-23647</v>
      </c>
      <c r="DV12" s="29"/>
    </row>
    <row r="13" spans="1:126" s="6" customFormat="1" hidden="1">
      <c r="A13" s="6" t="s">
        <v>137</v>
      </c>
      <c r="P13" s="6">
        <f>-2914-1387</f>
        <v>-4301</v>
      </c>
      <c r="AF13" s="6">
        <v>-7700</v>
      </c>
      <c r="AL13" s="6">
        <v>-9627</v>
      </c>
      <c r="AO13" s="6">
        <v>-21509</v>
      </c>
      <c r="AQ13" s="6">
        <f>-13510-1961</f>
        <v>-15471</v>
      </c>
      <c r="AS13" s="6">
        <v>-11821</v>
      </c>
      <c r="BA13" s="6">
        <v>-2954</v>
      </c>
      <c r="BC13" s="6">
        <v>-9031</v>
      </c>
      <c r="CC13" s="6">
        <v>-855</v>
      </c>
      <c r="CL13" s="29"/>
      <c r="CM13" s="29"/>
      <c r="CN13" s="6">
        <v>-1582</v>
      </c>
      <c r="DI13" s="6">
        <v>-7315</v>
      </c>
      <c r="DK13" s="29"/>
      <c r="DL13" s="29"/>
      <c r="DM13" s="29"/>
      <c r="DN13" s="29"/>
      <c r="DP13" s="29"/>
      <c r="DQ13" s="29"/>
      <c r="DR13" s="29"/>
      <c r="DS13" s="29"/>
      <c r="DU13" s="29"/>
      <c r="DV13" s="29"/>
    </row>
    <row r="14" spans="1:126" hidden="1">
      <c r="A14" s="1" t="s">
        <v>36</v>
      </c>
      <c r="B14" s="4">
        <v>-276</v>
      </c>
      <c r="D14" s="4">
        <f>503-427</f>
        <v>76</v>
      </c>
      <c r="F14" s="4">
        <v>-41</v>
      </c>
      <c r="I14" s="4">
        <v>-17</v>
      </c>
      <c r="N14" s="4"/>
      <c r="P14" s="4">
        <f>691-242+314-300</f>
        <v>463</v>
      </c>
      <c r="R14" s="4">
        <v>1124</v>
      </c>
      <c r="T14" s="4">
        <f>1367-2219</f>
        <v>-852</v>
      </c>
      <c r="V14" s="4">
        <v>595</v>
      </c>
      <c r="X14" s="4"/>
      <c r="AA14" s="4"/>
      <c r="AC14" s="4"/>
      <c r="AF14" s="4">
        <f>468+10</f>
        <v>478</v>
      </c>
      <c r="AH14" s="1">
        <v>-1275</v>
      </c>
      <c r="AJ14" s="4">
        <v>-507</v>
      </c>
      <c r="AL14" s="4"/>
      <c r="AO14" s="4">
        <v>1089</v>
      </c>
      <c r="AQ14" s="4">
        <f>777+13115</f>
        <v>13892</v>
      </c>
      <c r="AS14" s="4">
        <v>-71</v>
      </c>
      <c r="AU14" s="4">
        <v>16000</v>
      </c>
      <c r="AW14" s="4">
        <v>16000</v>
      </c>
      <c r="AY14" s="4">
        <v>16000</v>
      </c>
      <c r="BA14" s="4">
        <v>-3817</v>
      </c>
      <c r="BC14" s="4">
        <f>1725-2105</f>
        <v>-380</v>
      </c>
      <c r="BF14" s="1">
        <v>-173</v>
      </c>
      <c r="BI14" s="4">
        <v>-127</v>
      </c>
      <c r="BK14" s="4">
        <v>-135</v>
      </c>
      <c r="BN14" s="4"/>
      <c r="BP14" s="4"/>
      <c r="BR14" s="4">
        <v>-108</v>
      </c>
      <c r="BU14" s="4">
        <f>120-965+616-1595</f>
        <v>-1824</v>
      </c>
      <c r="BW14" s="4"/>
      <c r="BZ14" s="4"/>
      <c r="CC14" s="4">
        <v>1</v>
      </c>
      <c r="CE14" s="4"/>
      <c r="CH14" s="4">
        <f>9956-7343</f>
        <v>2613</v>
      </c>
      <c r="CJ14" s="4">
        <v>2966</v>
      </c>
      <c r="CL14" s="22">
        <f>841-874</f>
        <v>-33</v>
      </c>
      <c r="CM14" s="20"/>
      <c r="CN14" s="4">
        <f>-4054-798</f>
        <v>-4852</v>
      </c>
      <c r="CP14" s="4"/>
      <c r="CR14" s="4">
        <v>-359</v>
      </c>
      <c r="CT14" s="4">
        <v>-359</v>
      </c>
      <c r="CV14" s="4">
        <v>-359</v>
      </c>
      <c r="CX14" s="4">
        <v>-359</v>
      </c>
      <c r="CZ14" s="4">
        <v>-359</v>
      </c>
      <c r="DB14" s="4">
        <v>-359</v>
      </c>
      <c r="DD14" s="4">
        <v>-359</v>
      </c>
      <c r="DF14" s="4">
        <v>-359</v>
      </c>
      <c r="DI14" s="4">
        <f>787-948-161</f>
        <v>-322</v>
      </c>
      <c r="DK14" s="22">
        <v>2966</v>
      </c>
      <c r="DL14" s="20"/>
      <c r="DM14" s="22">
        <v>2966</v>
      </c>
      <c r="DN14" s="20"/>
      <c r="DP14" s="22">
        <v>2966</v>
      </c>
      <c r="DQ14" s="20"/>
      <c r="DR14" s="22">
        <v>2966</v>
      </c>
      <c r="DS14" s="20"/>
      <c r="DU14" s="22">
        <v>2966</v>
      </c>
      <c r="DV14" s="20"/>
    </row>
    <row r="15" spans="1:126" hidden="1">
      <c r="A15" s="1" t="s">
        <v>3</v>
      </c>
      <c r="B15" s="1">
        <f>SUM(B9:B12)</f>
        <v>1463</v>
      </c>
      <c r="C15" s="3">
        <f>B15/B5</f>
        <v>7.2179189895900137E-2</v>
      </c>
      <c r="D15" s="1">
        <f>SUM(D9:D14)</f>
        <v>5328</v>
      </c>
      <c r="E15" s="3">
        <f>D15/D5</f>
        <v>7.0214280066418916E-2</v>
      </c>
      <c r="F15" s="1">
        <f>SUM(F9:F14)</f>
        <v>4387</v>
      </c>
      <c r="G15" s="3">
        <f>F15/F5</f>
        <v>0.10483177212770024</v>
      </c>
      <c r="H15" s="3"/>
      <c r="I15" s="1">
        <f>SUM(I9:I14)</f>
        <v>4462</v>
      </c>
      <c r="J15" s="3">
        <f>I15/I5</f>
        <v>0.26535831103181684</v>
      </c>
      <c r="K15" s="1">
        <f>SUM(K9:K12)</f>
        <v>101</v>
      </c>
      <c r="L15" s="3">
        <f>K15/K5</f>
        <v>7.340116279069768E-2</v>
      </c>
      <c r="M15" s="3"/>
      <c r="N15" s="1">
        <f>SUM(N9:N14)</f>
        <v>16376</v>
      </c>
      <c r="O15" s="3">
        <f>N15/N5</f>
        <v>0.35006412997007269</v>
      </c>
      <c r="P15" s="1">
        <f>SUM(P9:P14)</f>
        <v>5106</v>
      </c>
      <c r="Q15" s="3">
        <f>P15/P5</f>
        <v>0.15495736092986556</v>
      </c>
      <c r="R15" s="1">
        <f>SUM(R9:R14)</f>
        <v>7028</v>
      </c>
      <c r="S15" s="3">
        <f>R15/R5</f>
        <v>0.26515751744953781</v>
      </c>
      <c r="T15" s="1">
        <f>SUM(T9:T14)</f>
        <v>10910</v>
      </c>
      <c r="U15" s="3">
        <f>T15/T5</f>
        <v>0.18836325966850828</v>
      </c>
      <c r="V15" s="1">
        <f>SUM(V9:V14)</f>
        <v>3712</v>
      </c>
      <c r="W15" s="3">
        <f>V15/V5</f>
        <v>0.14437400334487185</v>
      </c>
      <c r="X15" s="1">
        <f>SUM(X9:X14)</f>
        <v>31493</v>
      </c>
      <c r="Y15" s="3">
        <f>X15/X5</f>
        <v>0.37683673957784902</v>
      </c>
      <c r="Z15" s="3"/>
      <c r="AA15" s="1">
        <f>SUM(AA9:AA14)</f>
        <v>4149</v>
      </c>
      <c r="AB15" s="3">
        <f>AA15/AA5</f>
        <v>0.11358409986859395</v>
      </c>
      <c r="AC15" s="1">
        <f>SUM(AC9:AC14)</f>
        <v>8976</v>
      </c>
      <c r="AD15" s="3">
        <f>AC15/AC5</f>
        <v>0.11401135540906146</v>
      </c>
      <c r="AF15" s="1">
        <f>SUM(AF9:AF14)</f>
        <v>-1739</v>
      </c>
      <c r="AG15" s="3">
        <f>AF15/AF5</f>
        <v>-3.9127010912363598E-2</v>
      </c>
      <c r="AH15" s="1">
        <f>SUM(AH9:AH12)</f>
        <v>-43083</v>
      </c>
      <c r="AI15" s="3">
        <f>AH15/AH5</f>
        <v>-0.66610491813417028</v>
      </c>
      <c r="AJ15" s="1">
        <f>SUM(AJ9:AJ14)</f>
        <v>6062</v>
      </c>
      <c r="AK15" s="3">
        <f>AJ15/AJ5</f>
        <v>0.13059870306137839</v>
      </c>
      <c r="AL15" s="1">
        <f>AL7+SUM(AL10:AL14)</f>
        <v>9450</v>
      </c>
      <c r="AM15" s="3">
        <f>AL15/AL5</f>
        <v>0.1656122395331312</v>
      </c>
      <c r="AO15" s="1">
        <f>SUM(AO9:AO14)</f>
        <v>27959</v>
      </c>
      <c r="AP15" s="3">
        <f>AO15/AO5</f>
        <v>6.1961062417587288E-2</v>
      </c>
      <c r="AQ15" s="1">
        <f>SUM(AQ9:AQ14)</f>
        <v>28580</v>
      </c>
      <c r="AR15" s="3">
        <f>AQ15/AQ5</f>
        <v>7.5381920999324781E-2</v>
      </c>
      <c r="AS15" s="1">
        <f>SUM(AS9:AS14)</f>
        <v>8888</v>
      </c>
      <c r="AT15" s="3">
        <f>AS15/AS5</f>
        <v>7.7491128800230166E-2</v>
      </c>
      <c r="AU15" s="1">
        <f>SUM(AU9:AU14)</f>
        <v>204900</v>
      </c>
      <c r="AV15" s="3">
        <f>AU15/AU5</f>
        <v>0.29035000708516367</v>
      </c>
      <c r="AW15" s="1">
        <f>SUM(AW9:AW14)</f>
        <v>204900</v>
      </c>
      <c r="AX15" s="3">
        <f>AW15/AW5</f>
        <v>0.29035000708516367</v>
      </c>
      <c r="AY15" s="1">
        <f>SUM(AY9:AY14)</f>
        <v>204900</v>
      </c>
      <c r="AZ15" s="3">
        <f>AY15/AY5</f>
        <v>0.29035000708516367</v>
      </c>
      <c r="BA15" s="1">
        <f>SUM(BA9:BA14)</f>
        <v>3667</v>
      </c>
      <c r="BB15" s="3">
        <f>BA15/BA5</f>
        <v>0.19106919549812421</v>
      </c>
      <c r="BC15" s="1">
        <f>SUM(BC9:BC14)</f>
        <v>17811</v>
      </c>
      <c r="BD15" s="3">
        <f>BC15/BC5</f>
        <v>0.10376044973930267</v>
      </c>
      <c r="BF15" s="1">
        <f>SUM(BF9:BF12)</f>
        <v>-19343</v>
      </c>
      <c r="BG15" s="3">
        <f>BF15/BF5</f>
        <v>-1.0676712479991168</v>
      </c>
      <c r="BI15" s="1">
        <f>SUM(BI9:BI14)</f>
        <v>5894</v>
      </c>
      <c r="BJ15" s="3">
        <f>BI15/BI5</f>
        <v>0.20220247692888263</v>
      </c>
      <c r="BK15" s="1">
        <f>SUM(BK9:BK14)</f>
        <v>3739</v>
      </c>
      <c r="BL15" s="3">
        <f>BK15/BK5</f>
        <v>0.1627350278551532</v>
      </c>
      <c r="BM15" s="3"/>
      <c r="BN15" s="1">
        <f>SUM(BN9:BN14)</f>
        <v>4203</v>
      </c>
      <c r="BO15" s="3">
        <f>BN15/BN5</f>
        <v>0.18106233576013442</v>
      </c>
      <c r="BP15" s="1">
        <f>SUM(BP9:BP14)</f>
        <v>12733</v>
      </c>
      <c r="BQ15" s="3">
        <f>BP15/BP5</f>
        <v>0.3202625886614015</v>
      </c>
      <c r="BR15" s="1">
        <f>SUM(BR9:BR14)</f>
        <v>3323</v>
      </c>
      <c r="BS15" s="3">
        <f>BR15/BR5</f>
        <v>0.29064987317414503</v>
      </c>
      <c r="BT15" s="3"/>
      <c r="BU15" s="1">
        <f>SUM(BU9:BU14)</f>
        <v>13068</v>
      </c>
      <c r="BV15" s="3">
        <f>BU15/BU5</f>
        <v>0.14179995225590833</v>
      </c>
      <c r="BW15" s="1">
        <f>SUM(BW9:BW14)</f>
        <v>7517</v>
      </c>
      <c r="BX15" s="3">
        <f>BW15/BW5</f>
        <v>0.15095286864670562</v>
      </c>
      <c r="BY15" s="3"/>
      <c r="BZ15" s="1">
        <f>SUM(BZ9:BZ14)</f>
        <v>5412</v>
      </c>
      <c r="CA15" s="3">
        <f>BZ15/BZ5</f>
        <v>0.35628703094140884</v>
      </c>
      <c r="CB15" s="3"/>
      <c r="CC15" s="1">
        <f>SUM(CC9:CC14)</f>
        <v>3071</v>
      </c>
      <c r="CD15" s="3">
        <f>CC15/CC5</f>
        <v>0.1836283185840708</v>
      </c>
      <c r="CE15" s="1">
        <f>SUM(CE9:CE14)</f>
        <v>22168</v>
      </c>
      <c r="CF15" s="3">
        <f>CE15/CE5</f>
        <v>0.17243042267544065</v>
      </c>
      <c r="CG15" s="3"/>
      <c r="CH15" s="1">
        <f>SUM(CH9:CH14)</f>
        <v>11670</v>
      </c>
      <c r="CI15" s="3">
        <f>CH15/CH5</f>
        <v>5.9236473830879106E-2</v>
      </c>
      <c r="CJ15" s="1">
        <f>SUM(CJ9:CJ14)</f>
        <v>14477</v>
      </c>
      <c r="CK15" s="3">
        <f>CJ15/CJ5</f>
        <v>7.5136498577923566E-2</v>
      </c>
      <c r="CL15" s="1">
        <f>SUM(CL9:CL14)</f>
        <v>7986</v>
      </c>
      <c r="CM15" s="23">
        <v>0.06</v>
      </c>
      <c r="CN15" s="1">
        <f>SUM(CN9:CN14)</f>
        <v>7832</v>
      </c>
      <c r="CO15" s="3">
        <f>CN15/CN5</f>
        <v>0.13620395812319572</v>
      </c>
      <c r="CP15" s="1">
        <f>SUM(CP9:CP14)</f>
        <v>20240</v>
      </c>
      <c r="CQ15" s="3">
        <f>CP15/CP5</f>
        <v>0.28440947094779739</v>
      </c>
      <c r="CR15" s="1">
        <f>SUM(CR9:CR14)</f>
        <v>3122</v>
      </c>
      <c r="CS15" s="3">
        <f>CR15/CR5</f>
        <v>3.7936230193448044E-2</v>
      </c>
      <c r="CT15" s="1">
        <f>SUM(CT9:CT14)</f>
        <v>3122</v>
      </c>
      <c r="CU15" s="3">
        <f>CT15/CT5</f>
        <v>3.7936230193448044E-2</v>
      </c>
      <c r="CV15" s="1">
        <f>SUM(CV9:CV14)</f>
        <v>3122</v>
      </c>
      <c r="CW15" s="3">
        <f>CV15/CV5</f>
        <v>3.7936230193448044E-2</v>
      </c>
      <c r="CX15" s="1">
        <f>SUM(CX9:CX14)</f>
        <v>3122</v>
      </c>
      <c r="CY15" s="3">
        <f>CX15/CX5</f>
        <v>3.7936230193448044E-2</v>
      </c>
      <c r="CZ15" s="1">
        <f>SUM(CZ9:CZ14)</f>
        <v>3122</v>
      </c>
      <c r="DA15" s="3">
        <f>CZ15/CZ5</f>
        <v>3.7936230193448044E-2</v>
      </c>
      <c r="DB15" s="1">
        <f>SUM(DB9:DB14)</f>
        <v>3122</v>
      </c>
      <c r="DC15" s="3">
        <f>DB15/DB5</f>
        <v>3.7936230193448044E-2</v>
      </c>
      <c r="DD15" s="1">
        <f>SUM(DD9:DD14)</f>
        <v>3122</v>
      </c>
      <c r="DE15" s="3">
        <f>DD15/DD5</f>
        <v>3.7936230193448044E-2</v>
      </c>
      <c r="DF15" s="1">
        <f>SUM(DF9:DF14)</f>
        <v>3122</v>
      </c>
      <c r="DG15" s="3">
        <f>DF15/DF5</f>
        <v>3.7936230193448044E-2</v>
      </c>
      <c r="DH15" s="3"/>
      <c r="DI15" s="1">
        <f>SUM(DI9:DI14)</f>
        <v>7430</v>
      </c>
      <c r="DJ15" s="3">
        <f>DI15/DI5</f>
        <v>0.14519942936428837</v>
      </c>
      <c r="DK15" s="1">
        <f>SUM(DK9:DK14)</f>
        <v>14477</v>
      </c>
      <c r="DL15" s="23">
        <v>0.06</v>
      </c>
      <c r="DM15" s="1">
        <f>SUM(DM9:DM14)</f>
        <v>14477</v>
      </c>
      <c r="DN15" s="23">
        <v>0.06</v>
      </c>
      <c r="DP15" s="1">
        <f>SUM(DP9:DP14)</f>
        <v>14477</v>
      </c>
      <c r="DQ15" s="23">
        <v>0.06</v>
      </c>
      <c r="DR15" s="1">
        <f>SUM(DR9:DR14)</f>
        <v>14477</v>
      </c>
      <c r="DS15" s="23">
        <v>0.06</v>
      </c>
      <c r="DU15" s="1">
        <f>SUM(DU9:DU14)</f>
        <v>14477</v>
      </c>
      <c r="DV15" s="23">
        <v>0.06</v>
      </c>
    </row>
    <row r="16" spans="1:126" hidden="1">
      <c r="A16" s="1" t="s">
        <v>4</v>
      </c>
      <c r="B16" s="6">
        <v>-176</v>
      </c>
      <c r="D16" s="6">
        <f>948-789-154</f>
        <v>5</v>
      </c>
      <c r="F16" s="6">
        <v>-390</v>
      </c>
      <c r="I16" s="6">
        <v>-66</v>
      </c>
      <c r="K16" s="6">
        <v>-17</v>
      </c>
      <c r="N16" s="6">
        <f>-1580-119</f>
        <v>-1699</v>
      </c>
      <c r="P16" s="6">
        <f>-612+109</f>
        <v>-503</v>
      </c>
      <c r="R16" s="6">
        <f>61-767</f>
        <v>-706</v>
      </c>
      <c r="T16" s="6">
        <f>-683-92</f>
        <v>-775</v>
      </c>
      <c r="V16" s="6">
        <f>50-495</f>
        <v>-445</v>
      </c>
      <c r="X16" s="6">
        <f>1702-656</f>
        <v>1046</v>
      </c>
      <c r="AA16" s="6">
        <v>-741</v>
      </c>
      <c r="AC16" s="6">
        <v>-743</v>
      </c>
      <c r="AF16" s="6">
        <f>-1788+305</f>
        <v>-1483</v>
      </c>
      <c r="AH16" s="6">
        <v>-3659</v>
      </c>
      <c r="AJ16" s="6">
        <v>-1476</v>
      </c>
      <c r="AL16" s="6">
        <f>933+3323-3629-3493</f>
        <v>-2866</v>
      </c>
      <c r="AO16" s="6">
        <v>-1642</v>
      </c>
      <c r="AQ16" s="6">
        <f>-1068-480</f>
        <v>-1548</v>
      </c>
      <c r="AS16" s="6">
        <f>5732-6653+4-92</f>
        <v>-1009</v>
      </c>
      <c r="AU16" s="6">
        <v>100</v>
      </c>
      <c r="AW16" s="6">
        <v>100</v>
      </c>
      <c r="AY16" s="6">
        <v>100</v>
      </c>
      <c r="BA16" s="6">
        <f>169-283</f>
        <v>-114</v>
      </c>
      <c r="BC16" s="6">
        <f>-670+64+524-529</f>
        <v>-611</v>
      </c>
      <c r="BF16" s="6">
        <v>-211</v>
      </c>
      <c r="BI16" s="6">
        <f>-103-96</f>
        <v>-199</v>
      </c>
      <c r="BK16" s="6">
        <f>-29+33-47</f>
        <v>-43</v>
      </c>
      <c r="BN16" s="6">
        <f>-735+BN101289</f>
        <v>-735</v>
      </c>
      <c r="BP16" s="6">
        <v>-2206</v>
      </c>
      <c r="BR16" s="6">
        <v>-399</v>
      </c>
      <c r="BU16" s="6">
        <f>219-850</f>
        <v>-631</v>
      </c>
      <c r="BW16" s="6">
        <v>-530</v>
      </c>
      <c r="BZ16" s="6">
        <v>-456</v>
      </c>
      <c r="CC16" s="6">
        <v>-18</v>
      </c>
      <c r="CE16" s="6">
        <f>367-9</f>
        <v>358</v>
      </c>
      <c r="CH16" s="6">
        <f>-2366-465</f>
        <v>-2831</v>
      </c>
      <c r="CJ16" s="6">
        <v>-2552</v>
      </c>
      <c r="CL16" s="20">
        <v>-471</v>
      </c>
      <c r="CM16" s="20"/>
      <c r="CN16" s="6"/>
      <c r="CP16" s="6"/>
      <c r="CR16" s="6"/>
      <c r="CT16" s="6"/>
      <c r="CV16" s="6"/>
      <c r="CX16" s="6"/>
      <c r="CZ16" s="6"/>
      <c r="DB16" s="6"/>
      <c r="DD16" s="6"/>
      <c r="DF16" s="6"/>
      <c r="DI16" s="6">
        <f>-3672+59+82-507-369</f>
        <v>-4407</v>
      </c>
      <c r="DK16" s="20">
        <v>-2552</v>
      </c>
      <c r="DL16" s="20"/>
      <c r="DM16" s="20">
        <v>-2552</v>
      </c>
      <c r="DN16" s="20"/>
      <c r="DP16" s="20">
        <v>-2552</v>
      </c>
      <c r="DQ16" s="20"/>
      <c r="DR16" s="20">
        <v>-2552</v>
      </c>
      <c r="DS16" s="20"/>
      <c r="DU16" s="20">
        <v>-2552</v>
      </c>
      <c r="DV16" s="20"/>
    </row>
    <row r="17" spans="1:126" s="6" customFormat="1" hidden="1">
      <c r="A17" s="6" t="s">
        <v>60</v>
      </c>
      <c r="B17" s="4"/>
      <c r="D17" s="4">
        <v>510</v>
      </c>
      <c r="F17" s="4">
        <v>69</v>
      </c>
      <c r="I17" s="4"/>
      <c r="N17" s="4"/>
      <c r="P17" s="4">
        <v>35</v>
      </c>
      <c r="R17" s="4">
        <f>43+282</f>
        <v>325</v>
      </c>
      <c r="T17" s="4">
        <v>600</v>
      </c>
      <c r="V17" s="4"/>
      <c r="X17" s="4"/>
      <c r="AA17" s="4">
        <v>-45</v>
      </c>
      <c r="AC17" s="4">
        <v>203</v>
      </c>
      <c r="AF17" s="4">
        <v>6477</v>
      </c>
      <c r="AJ17" s="4">
        <v>4963</v>
      </c>
      <c r="AL17" s="4">
        <v>-304</v>
      </c>
      <c r="AO17" s="4">
        <v>7275</v>
      </c>
      <c r="AQ17" s="4">
        <f>447+2742</f>
        <v>3189</v>
      </c>
      <c r="AS17" s="4">
        <f>222+5863</f>
        <v>6085</v>
      </c>
      <c r="AU17" s="4">
        <v>1700</v>
      </c>
      <c r="AW17" s="4">
        <v>1700</v>
      </c>
      <c r="AY17" s="4">
        <v>1700</v>
      </c>
      <c r="BA17" s="4">
        <v>336</v>
      </c>
      <c r="BC17" s="4">
        <v>2571</v>
      </c>
      <c r="BF17" s="4"/>
      <c r="BG17" s="4"/>
      <c r="BH17" s="4"/>
      <c r="BI17" s="4">
        <v>7</v>
      </c>
      <c r="BK17" s="4">
        <v>328</v>
      </c>
      <c r="BN17" s="4">
        <v>1244</v>
      </c>
      <c r="BP17" s="4">
        <v>624</v>
      </c>
      <c r="BR17" s="4">
        <v>199</v>
      </c>
      <c r="BU17" s="4">
        <v>1264</v>
      </c>
      <c r="BW17" s="4">
        <f>113+14</f>
        <v>127</v>
      </c>
      <c r="BZ17" s="4">
        <v>692</v>
      </c>
      <c r="CC17" s="4"/>
      <c r="CE17" s="4"/>
      <c r="CH17" s="4">
        <v>3589</v>
      </c>
      <c r="CJ17" s="4">
        <v>13567</v>
      </c>
      <c r="CL17" s="22">
        <v>398</v>
      </c>
      <c r="CM17" s="20"/>
      <c r="CN17" s="4">
        <f>323+285-251</f>
        <v>357</v>
      </c>
      <c r="CP17" s="4">
        <v>2325</v>
      </c>
      <c r="CR17" s="4">
        <v>427</v>
      </c>
      <c r="CT17" s="4">
        <v>427</v>
      </c>
      <c r="CV17" s="4">
        <v>427</v>
      </c>
      <c r="CX17" s="4">
        <v>427</v>
      </c>
      <c r="CZ17" s="4">
        <v>427</v>
      </c>
      <c r="DB17" s="4">
        <v>427</v>
      </c>
      <c r="DD17" s="4">
        <v>427</v>
      </c>
      <c r="DF17" s="4">
        <v>427</v>
      </c>
      <c r="DI17" s="4">
        <f>698-216</f>
        <v>482</v>
      </c>
      <c r="DK17" s="22">
        <v>13567</v>
      </c>
      <c r="DL17" s="20"/>
      <c r="DM17" s="22">
        <v>13567</v>
      </c>
      <c r="DN17" s="20"/>
      <c r="DP17" s="22">
        <v>13567</v>
      </c>
      <c r="DQ17" s="20"/>
      <c r="DR17" s="22">
        <v>13567</v>
      </c>
      <c r="DS17" s="20"/>
      <c r="DU17" s="22">
        <v>13567</v>
      </c>
      <c r="DV17" s="20"/>
    </row>
    <row r="18" spans="1:126" hidden="1">
      <c r="A18" s="1" t="s">
        <v>8</v>
      </c>
      <c r="B18" s="1">
        <f>SUM(B15:B16)</f>
        <v>1287</v>
      </c>
      <c r="C18" s="3">
        <f>B18/B5</f>
        <v>6.3495979081355763E-2</v>
      </c>
      <c r="D18" s="1">
        <f>SUM(D15:D17)</f>
        <v>5843</v>
      </c>
      <c r="E18" s="3">
        <f>D18/D5</f>
        <v>7.7001133338604671E-2</v>
      </c>
      <c r="F18" s="1">
        <f>SUM(F15:F17)</f>
        <v>4066</v>
      </c>
      <c r="G18" s="3">
        <f>F18/F5</f>
        <v>9.7161154654941698E-2</v>
      </c>
      <c r="H18" s="3"/>
      <c r="I18" s="1">
        <f>SUM(I15:I17)</f>
        <v>4396</v>
      </c>
      <c r="J18" s="3">
        <f>I18/I5</f>
        <v>0.26143324412726732</v>
      </c>
      <c r="K18" s="1">
        <f>SUM(K15:K17)</f>
        <v>84</v>
      </c>
      <c r="L18" s="3">
        <f>K18/K5</f>
        <v>6.1046511627906974E-2</v>
      </c>
      <c r="M18" s="3"/>
      <c r="N18" s="1">
        <f>SUM(N15:N17)</f>
        <v>14677</v>
      </c>
      <c r="O18" s="3">
        <f>N18/N5</f>
        <v>0.31374519025224457</v>
      </c>
      <c r="P18" s="1">
        <f>SUM(P15:P17)</f>
        <v>4638</v>
      </c>
      <c r="Q18" s="3">
        <f>P18/P5</f>
        <v>0.14075445358259234</v>
      </c>
      <c r="R18" s="1">
        <f>SUM(R15:R17)</f>
        <v>6647</v>
      </c>
      <c r="S18" s="3">
        <f>R18/R5</f>
        <v>0.25078287115638559</v>
      </c>
      <c r="T18" s="1">
        <f>SUM(T15:T17)</f>
        <v>10735</v>
      </c>
      <c r="U18" s="3">
        <f>T18/T5</f>
        <v>0.18534185082872928</v>
      </c>
      <c r="V18" s="1">
        <f>SUM(V15:V17)</f>
        <v>3267</v>
      </c>
      <c r="W18" s="3">
        <f>V18/V5</f>
        <v>0.12706623624129751</v>
      </c>
      <c r="X18" s="1">
        <f>SUM(X15:X17)</f>
        <v>32539</v>
      </c>
      <c r="Y18" s="3">
        <f>X18/X5</f>
        <v>0.38935289331355</v>
      </c>
      <c r="Z18" s="3"/>
      <c r="AA18" s="1">
        <f>SUM(AA15:AA17)</f>
        <v>3363</v>
      </c>
      <c r="AB18" s="3">
        <f>AA18/AA5</f>
        <v>9.2066360052562413E-2</v>
      </c>
      <c r="AC18" s="1">
        <f>SUM(AC15:AC17)</f>
        <v>8436</v>
      </c>
      <c r="AD18" s="3">
        <f>AC18/AC5</f>
        <v>0.10715238349274092</v>
      </c>
      <c r="AF18" s="1">
        <f>SUM(AF15:AF17)</f>
        <v>3255</v>
      </c>
      <c r="AG18" s="3">
        <f>AF18/AF5</f>
        <v>7.3236584542693217E-2</v>
      </c>
      <c r="AH18" s="1">
        <f>SUM(AH15:AH17)</f>
        <v>-46742</v>
      </c>
      <c r="AI18" s="3">
        <f>AH18/AH5</f>
        <v>-0.72267660291593872</v>
      </c>
      <c r="AJ18" s="1">
        <f>SUM(AJ15:AJ17)</f>
        <v>9549</v>
      </c>
      <c r="AK18" s="3">
        <f>AJ18/AJ5</f>
        <v>0.20572204149341836</v>
      </c>
      <c r="AL18" s="1">
        <f>SUM(AL15:AL17)</f>
        <v>6280</v>
      </c>
      <c r="AM18" s="3">
        <f>AL18/AL5</f>
        <v>0.11005765759450413</v>
      </c>
      <c r="AO18" s="1">
        <f>SUM(AO15:AO17)</f>
        <v>33592</v>
      </c>
      <c r="AP18" s="3">
        <f>AO18/AO5</f>
        <v>7.4444579875231315E-2</v>
      </c>
      <c r="AQ18" s="1">
        <f>SUM(AQ15:AQ17)</f>
        <v>30221</v>
      </c>
      <c r="AR18" s="3">
        <f>AQ18/AQ5</f>
        <v>7.9710183153274813E-2</v>
      </c>
      <c r="AS18" s="1">
        <f>SUM(AS15:AS17)</f>
        <v>13964</v>
      </c>
      <c r="AT18" s="3">
        <f>AS18/AS5</f>
        <v>0.12174686347506909</v>
      </c>
      <c r="AU18" s="1">
        <f>SUM(AU15:AU17)</f>
        <v>206700</v>
      </c>
      <c r="AV18" s="3">
        <f>AU18/AU5</f>
        <v>0.29290066600538472</v>
      </c>
      <c r="AW18" s="1">
        <f>SUM(AW15:AW17)</f>
        <v>206700</v>
      </c>
      <c r="AX18" s="3">
        <f>AW18/AW5</f>
        <v>0.29290066600538472</v>
      </c>
      <c r="AY18" s="1">
        <f>SUM(AY15:AY17)</f>
        <v>206700</v>
      </c>
      <c r="AZ18" s="3">
        <f>AY18/AY5</f>
        <v>0.29290066600538472</v>
      </c>
      <c r="BA18" s="1">
        <f>SUM(BA15:BA17)</f>
        <v>3889</v>
      </c>
      <c r="BB18" s="3">
        <f>BA18/BA5</f>
        <v>0.20263651521467277</v>
      </c>
      <c r="BC18" s="1">
        <f>SUM(BC15:BC17)</f>
        <v>19771</v>
      </c>
      <c r="BD18" s="3">
        <f>BC18/BC5</f>
        <v>0.11517870146514812</v>
      </c>
      <c r="BF18" s="1">
        <f>SUM(BF15:BF17)</f>
        <v>-19554</v>
      </c>
      <c r="BG18" s="3">
        <f>BF18/BF5</f>
        <v>-1.079317767842358</v>
      </c>
      <c r="BI18" s="1">
        <f>SUM(BI15:BI17)</f>
        <v>5702</v>
      </c>
      <c r="BJ18" s="3">
        <f>BI18/BI5</f>
        <v>0.19561563003876634</v>
      </c>
      <c r="BK18" s="1">
        <f>SUM(BK15:BK17)</f>
        <v>4024</v>
      </c>
      <c r="BL18" s="3">
        <f>BK18/BK5</f>
        <v>0.17513927576601671</v>
      </c>
      <c r="BM18" s="3"/>
      <c r="BN18" s="1">
        <f>SUM(BN15:BN17)</f>
        <v>4712</v>
      </c>
      <c r="BO18" s="3">
        <f>BN18/BN5</f>
        <v>0.20298970404514713</v>
      </c>
      <c r="BP18" s="1">
        <f>SUM(BP15:BP17)</f>
        <v>11151</v>
      </c>
      <c r="BQ18" s="3">
        <f>BP18/BP5</f>
        <v>0.28047185472106245</v>
      </c>
      <c r="BR18" s="1">
        <f>SUM(BR15:BR17)</f>
        <v>3123</v>
      </c>
      <c r="BS18" s="3">
        <f>BR18/BR5</f>
        <v>0.27315665179742848</v>
      </c>
      <c r="BT18" s="3"/>
      <c r="BU18" s="1">
        <f>SUM(BU15:BU17)</f>
        <v>13701</v>
      </c>
      <c r="BV18" s="3">
        <f>BU18/BU5</f>
        <v>0.14866859089823997</v>
      </c>
      <c r="BW18" s="1">
        <f>SUM(BW15:BW17)</f>
        <v>7114</v>
      </c>
      <c r="BX18" s="3">
        <f>BW18/BW5</f>
        <v>0.14286001164728798</v>
      </c>
      <c r="BY18" s="3"/>
      <c r="BZ18" s="1">
        <f>SUM(BZ15:BZ17)</f>
        <v>5648</v>
      </c>
      <c r="CA18" s="3">
        <f>BZ18/BZ5</f>
        <v>0.37182356813693218</v>
      </c>
      <c r="CB18" s="3"/>
      <c r="CC18" s="1">
        <f>SUM(CC15:CC17)</f>
        <v>3053</v>
      </c>
      <c r="CD18" s="3">
        <f>CC18/CC5</f>
        <v>0.18255202104759627</v>
      </c>
      <c r="CE18" s="1">
        <f>SUM(CE15:CE17)</f>
        <v>22526</v>
      </c>
      <c r="CF18" s="3">
        <f>CE18/CE5</f>
        <v>0.1752150713274529</v>
      </c>
      <c r="CG18" s="3"/>
      <c r="CH18" s="1">
        <f>SUM(CH15:CH17)</f>
        <v>12428</v>
      </c>
      <c r="CI18" s="3">
        <f>CH18/CH5</f>
        <v>6.3084052850913924E-2</v>
      </c>
      <c r="CJ18" s="1">
        <f>SUM(CJ15:CJ17)</f>
        <v>25492</v>
      </c>
      <c r="CK18" s="3">
        <f>CJ18/CJ5</f>
        <v>0.1323050094459092</v>
      </c>
      <c r="CL18" s="1">
        <f>SUM(CL15:CL17)</f>
        <v>7913</v>
      </c>
      <c r="CM18" s="23">
        <v>0.13</v>
      </c>
      <c r="CN18" s="1">
        <f>SUM(CN15:CN17)</f>
        <v>8189</v>
      </c>
      <c r="CO18" s="3">
        <f>CN18/CN5</f>
        <v>0.14241243782824944</v>
      </c>
      <c r="CP18" s="1">
        <f>SUM(CP15:CP17)</f>
        <v>22565</v>
      </c>
      <c r="CQ18" s="3">
        <f>CP18/CP5</f>
        <v>0.3170800252933324</v>
      </c>
      <c r="CR18" s="1">
        <f>SUM(CR15:CR17)</f>
        <v>3549</v>
      </c>
      <c r="CS18" s="3">
        <f>CR18/CR5</f>
        <v>4.3124817731116941E-2</v>
      </c>
      <c r="CT18" s="1">
        <f>SUM(CT15:CT17)</f>
        <v>3549</v>
      </c>
      <c r="CU18" s="3">
        <f>CT18/CT5</f>
        <v>4.3124817731116941E-2</v>
      </c>
      <c r="CV18" s="1">
        <f>SUM(CV15:CV17)</f>
        <v>3549</v>
      </c>
      <c r="CW18" s="3">
        <f>CV18/CV5</f>
        <v>4.3124817731116941E-2</v>
      </c>
      <c r="CX18" s="1">
        <f>SUM(CX15:CX17)</f>
        <v>3549</v>
      </c>
      <c r="CY18" s="3">
        <f>CX18/CX5</f>
        <v>4.3124817731116941E-2</v>
      </c>
      <c r="CZ18" s="1">
        <f>SUM(CZ15:CZ17)</f>
        <v>3549</v>
      </c>
      <c r="DA18" s="3">
        <f>CZ18/CZ5</f>
        <v>4.3124817731116941E-2</v>
      </c>
      <c r="DB18" s="1">
        <f>SUM(DB15:DB17)</f>
        <v>3549</v>
      </c>
      <c r="DC18" s="3">
        <f>DB18/DB5</f>
        <v>4.3124817731116941E-2</v>
      </c>
      <c r="DD18" s="1">
        <f>SUM(DD15:DD17)</f>
        <v>3549</v>
      </c>
      <c r="DE18" s="3">
        <f>DD18/DD5</f>
        <v>4.3124817731116941E-2</v>
      </c>
      <c r="DF18" s="1">
        <f>SUM(DF15:DF17)</f>
        <v>3549</v>
      </c>
      <c r="DG18" s="3">
        <f>DF18/DF5</f>
        <v>4.3124817731116941E-2</v>
      </c>
      <c r="DH18" s="3"/>
      <c r="DI18" s="1">
        <f>SUM(DI15:DI17)</f>
        <v>3505</v>
      </c>
      <c r="DJ18" s="3">
        <f>DI18/DI5</f>
        <v>6.8495827714916649E-2</v>
      </c>
      <c r="DK18" s="20">
        <v>25492</v>
      </c>
      <c r="DL18" s="23">
        <v>0.13</v>
      </c>
      <c r="DM18" s="20">
        <v>25492</v>
      </c>
      <c r="DN18" s="23">
        <v>0.13</v>
      </c>
      <c r="DP18" s="20">
        <v>25492</v>
      </c>
      <c r="DQ18" s="23">
        <v>0.13</v>
      </c>
      <c r="DR18" s="20">
        <v>25492</v>
      </c>
      <c r="DS18" s="23">
        <v>0.13</v>
      </c>
      <c r="DU18" s="20">
        <v>25492</v>
      </c>
      <c r="DV18" s="23">
        <v>0.13</v>
      </c>
    </row>
    <row r="19" spans="1:126" hidden="1">
      <c r="A19" s="1" t="s">
        <v>5</v>
      </c>
      <c r="B19" s="4">
        <v>-193</v>
      </c>
      <c r="D19" s="4">
        <v>-1630</v>
      </c>
      <c r="F19" s="4">
        <v>-1122</v>
      </c>
      <c r="I19" s="4">
        <v>-1071</v>
      </c>
      <c r="K19" s="4">
        <v>-116</v>
      </c>
      <c r="N19" s="4">
        <v>-3304</v>
      </c>
      <c r="P19" s="4">
        <v>-763</v>
      </c>
      <c r="R19" s="4">
        <v>-1019</v>
      </c>
      <c r="T19" s="4">
        <v>-1443</v>
      </c>
      <c r="V19" s="4">
        <v>-696</v>
      </c>
      <c r="X19" s="4">
        <v>-7355</v>
      </c>
      <c r="AA19" s="4">
        <v>-891</v>
      </c>
      <c r="AC19" s="4">
        <v>-3214</v>
      </c>
      <c r="AF19" s="4">
        <v>-2582</v>
      </c>
      <c r="AH19" s="4">
        <v>-1461</v>
      </c>
      <c r="AJ19" s="4">
        <v>-2546</v>
      </c>
      <c r="AL19" s="4">
        <v>-1311</v>
      </c>
      <c r="AO19" s="4">
        <v>-17066</v>
      </c>
      <c r="AQ19" s="4">
        <v>-6463</v>
      </c>
      <c r="AS19" s="4">
        <v>-9005</v>
      </c>
      <c r="AU19" s="4">
        <v>-137200</v>
      </c>
      <c r="AW19" s="4">
        <v>-137200</v>
      </c>
      <c r="AY19" s="4">
        <v>-137200</v>
      </c>
      <c r="BA19" s="4">
        <v>-1684</v>
      </c>
      <c r="BC19" s="4">
        <v>-11110</v>
      </c>
      <c r="BF19" s="4">
        <v>112</v>
      </c>
      <c r="BI19" s="4">
        <v>-1755</v>
      </c>
      <c r="BK19" s="4">
        <v>-1063</v>
      </c>
      <c r="BN19" s="4">
        <v>-1201</v>
      </c>
      <c r="BP19" s="4">
        <v>-1717</v>
      </c>
      <c r="BR19" s="4">
        <v>-529</v>
      </c>
      <c r="BU19" s="4">
        <v>-3256</v>
      </c>
      <c r="BW19" s="4">
        <v>-1851</v>
      </c>
      <c r="BZ19" s="4">
        <v>-1526</v>
      </c>
      <c r="CC19" s="4">
        <v>-671</v>
      </c>
      <c r="CE19" s="4">
        <v>-5374</v>
      </c>
      <c r="CH19" s="4">
        <v>-3283</v>
      </c>
      <c r="CJ19" s="4">
        <v>-3608</v>
      </c>
      <c r="CL19" s="22">
        <v>-2573</v>
      </c>
      <c r="CM19" s="20"/>
      <c r="CN19" s="4">
        <v>-2750</v>
      </c>
      <c r="CP19" s="4">
        <v>-4765</v>
      </c>
      <c r="CR19" s="4">
        <v>-575</v>
      </c>
      <c r="CT19" s="4">
        <v>-575</v>
      </c>
      <c r="CV19" s="4">
        <v>-575</v>
      </c>
      <c r="CX19" s="4">
        <v>-575</v>
      </c>
      <c r="CZ19" s="4">
        <v>-575</v>
      </c>
      <c r="DB19" s="4">
        <v>-575</v>
      </c>
      <c r="DD19" s="4">
        <v>-575</v>
      </c>
      <c r="DF19" s="4">
        <v>-575</v>
      </c>
      <c r="DI19" s="4">
        <v>-2426</v>
      </c>
      <c r="DK19" s="22">
        <v>-3608</v>
      </c>
      <c r="DL19" s="20"/>
      <c r="DM19" s="22">
        <v>-3608</v>
      </c>
      <c r="DN19" s="20"/>
      <c r="DP19" s="22">
        <v>-3608</v>
      </c>
      <c r="DQ19" s="20"/>
      <c r="DR19" s="22">
        <v>-3608</v>
      </c>
      <c r="DS19" s="20"/>
      <c r="DU19" s="22">
        <v>-3608</v>
      </c>
      <c r="DV19" s="20"/>
    </row>
    <row r="20" spans="1:126" hidden="1">
      <c r="A20" s="1" t="s">
        <v>101</v>
      </c>
      <c r="B20" s="1">
        <f>B18+B19</f>
        <v>1094</v>
      </c>
      <c r="C20" s="3">
        <f>B20/B5</f>
        <v>5.3974049040406535E-2</v>
      </c>
      <c r="D20" s="1">
        <f>D18+D19</f>
        <v>4213</v>
      </c>
      <c r="E20" s="3">
        <f>D20/D5</f>
        <v>5.5520413273240032E-2</v>
      </c>
      <c r="F20" s="1">
        <f>F18+F19</f>
        <v>2944</v>
      </c>
      <c r="G20" s="3">
        <f>F20/F5</f>
        <v>7.0349837507168805E-2</v>
      </c>
      <c r="H20" s="3"/>
      <c r="I20" s="1">
        <f>I18+I19</f>
        <v>3325</v>
      </c>
      <c r="J20" s="3">
        <f>I20/I5</f>
        <v>0.19774011299435029</v>
      </c>
      <c r="K20" s="1">
        <f>K18+K19</f>
        <v>-32</v>
      </c>
      <c r="L20" s="3">
        <f>K20/K5</f>
        <v>-2.3255813953488372E-2</v>
      </c>
      <c r="M20" s="3"/>
      <c r="N20" s="1">
        <f>N18+N19</f>
        <v>11373</v>
      </c>
      <c r="O20" s="3">
        <f>N20/N5</f>
        <v>0.24311671654553227</v>
      </c>
      <c r="P20" s="1">
        <f>P18+P19</f>
        <v>3875</v>
      </c>
      <c r="Q20" s="3">
        <f>P20/P5</f>
        <v>0.1175988589117174</v>
      </c>
      <c r="R20" s="1">
        <f>R18+R19</f>
        <v>5628</v>
      </c>
      <c r="S20" s="3">
        <f>R20/R5</f>
        <v>0.21233729485002831</v>
      </c>
      <c r="T20" s="1">
        <f>T18+T19</f>
        <v>9292</v>
      </c>
      <c r="U20" s="3">
        <f>T20/T5</f>
        <v>0.16042817679558011</v>
      </c>
      <c r="V20" s="1">
        <f>V18+V19</f>
        <v>2571</v>
      </c>
      <c r="W20" s="3">
        <f>V20/V5</f>
        <v>9.9996110614134034E-2</v>
      </c>
      <c r="X20" s="1">
        <f>X18+X19</f>
        <v>25184</v>
      </c>
      <c r="Y20" s="3">
        <f>X20/X5</f>
        <v>0.30134494806873113</v>
      </c>
      <c r="Z20" s="3"/>
      <c r="AA20" s="1">
        <f>AA18+AA19</f>
        <v>2472</v>
      </c>
      <c r="AB20" s="3">
        <f>AA20/AA5</f>
        <v>6.7674113009198428E-2</v>
      </c>
      <c r="AC20" s="1">
        <f>AC18+AC19</f>
        <v>5222</v>
      </c>
      <c r="AD20" s="3">
        <f>AC20/AC5</f>
        <v>6.6328798790788651E-2</v>
      </c>
      <c r="AF20" s="1">
        <f>AF18+AF19</f>
        <v>673</v>
      </c>
      <c r="AG20" s="3">
        <f>AF20/AF5</f>
        <v>1.5142310721115985E-2</v>
      </c>
      <c r="AH20" s="1">
        <f>AH18+AH19</f>
        <v>-48203</v>
      </c>
      <c r="AI20" s="3">
        <f>AH20/AH5</f>
        <v>-0.74526507830980693</v>
      </c>
      <c r="AJ20" s="1">
        <f>AJ18+AJ19</f>
        <v>7003</v>
      </c>
      <c r="AK20" s="3">
        <f>AJ20/AJ5</f>
        <v>0.1508714479608764</v>
      </c>
      <c r="AL20" s="1">
        <f>AL18+AL19</f>
        <v>4969</v>
      </c>
      <c r="AM20" s="3">
        <f>AL20/AL5</f>
        <v>8.7082245316415771E-2</v>
      </c>
      <c r="AO20" s="1">
        <f>AO18+AO19</f>
        <v>16526</v>
      </c>
      <c r="AP20" s="3">
        <f>AO20/AO5</f>
        <v>3.6623932097465846E-2</v>
      </c>
      <c r="AQ20" s="1">
        <f>AQ18+AQ19</f>
        <v>23758</v>
      </c>
      <c r="AR20" s="3">
        <f>AQ20/AQ5</f>
        <v>6.2663529709655635E-2</v>
      </c>
      <c r="AS20" s="1">
        <f>AS18+AS19</f>
        <v>4959</v>
      </c>
      <c r="AT20" s="3">
        <f>AS20/AS5</f>
        <v>4.3235655684106818E-2</v>
      </c>
      <c r="AU20" s="1">
        <f>AU18+AU19</f>
        <v>69500</v>
      </c>
      <c r="AV20" s="3">
        <f>AU20/AU5</f>
        <v>9.8483774975201929E-2</v>
      </c>
      <c r="AW20" s="1">
        <f>AW18+AW19</f>
        <v>69500</v>
      </c>
      <c r="AX20" s="3">
        <f>AW20/AW5</f>
        <v>9.8483774975201929E-2</v>
      </c>
      <c r="AY20" s="1">
        <f>AY18+AY19</f>
        <v>69500</v>
      </c>
      <c r="AZ20" s="3">
        <f>AY20/AY5</f>
        <v>9.8483774975201929E-2</v>
      </c>
      <c r="BA20" s="1">
        <f>BA18+BA19</f>
        <v>2205</v>
      </c>
      <c r="BB20" s="3">
        <f>BA20/BA5</f>
        <v>0.11489162150896207</v>
      </c>
      <c r="BC20" s="1">
        <f>BC18+BC19</f>
        <v>8661</v>
      </c>
      <c r="BD20" s="3">
        <f>BC20/BC5</f>
        <v>5.045585622323847E-2</v>
      </c>
      <c r="BF20" s="1">
        <f>BF18+BF19</f>
        <v>-19442</v>
      </c>
      <c r="BG20" s="3">
        <f>BF20/BF5</f>
        <v>-1.0731357288734338</v>
      </c>
      <c r="BI20" s="1">
        <f>BI18+BI19</f>
        <v>3947</v>
      </c>
      <c r="BJ20" s="3">
        <f>BI20/BI5</f>
        <v>0.13540773268379705</v>
      </c>
      <c r="BK20" s="1">
        <f>BK18+BK19</f>
        <v>2961</v>
      </c>
      <c r="BL20" s="3">
        <f>BK20/BK5</f>
        <v>0.12887360724233984</v>
      </c>
      <c r="BM20" s="3"/>
      <c r="BN20" s="1">
        <f>BN18+BN19</f>
        <v>3511</v>
      </c>
      <c r="BO20" s="3">
        <f>BN20/BN5</f>
        <v>0.15125145392667902</v>
      </c>
      <c r="BP20" s="1">
        <f>BP18+BP19</f>
        <v>9434</v>
      </c>
      <c r="BQ20" s="3">
        <f>BP20/BP5</f>
        <v>0.23728557774535944</v>
      </c>
      <c r="BR20" s="1">
        <f>BR18+BR19</f>
        <v>2594</v>
      </c>
      <c r="BS20" s="3">
        <f>BR20/BR5</f>
        <v>0.22688708125601328</v>
      </c>
      <c r="BT20" s="3"/>
      <c r="BU20" s="1">
        <f>BU18+BU19</f>
        <v>10445</v>
      </c>
      <c r="BV20" s="3">
        <f>BU20/BU5</f>
        <v>0.11333796306343454</v>
      </c>
      <c r="BW20" s="1">
        <f>BW18+BW19</f>
        <v>5263</v>
      </c>
      <c r="BX20" s="3">
        <f>BW20/BW5</f>
        <v>0.10568909773681145</v>
      </c>
      <c r="BY20" s="3"/>
      <c r="BZ20" s="1">
        <f>BZ18+BZ19</f>
        <v>4122</v>
      </c>
      <c r="CA20" s="3">
        <f>BZ20/BZ5</f>
        <v>0.27136273864384464</v>
      </c>
      <c r="CB20" s="3"/>
      <c r="CC20" s="1">
        <f>CC18+CC19</f>
        <v>2382</v>
      </c>
      <c r="CD20" s="3">
        <f>CC20/CC5</f>
        <v>0.14243004066012915</v>
      </c>
      <c r="CE20" s="1">
        <f>CE18+CE19</f>
        <v>17152</v>
      </c>
      <c r="CF20" s="3">
        <f>CE20/CE5</f>
        <v>0.1334142281545091</v>
      </c>
      <c r="CG20" s="3"/>
      <c r="CH20" s="1">
        <f>CH18+CH19</f>
        <v>9145</v>
      </c>
      <c r="CI20" s="3">
        <f>CH20/CH5</f>
        <v>4.6419670367042795E-2</v>
      </c>
      <c r="CJ20" s="1">
        <f>CJ18+CJ19</f>
        <v>21884</v>
      </c>
      <c r="CK20" s="3">
        <f>CJ20/CJ5</f>
        <v>0.11357927297639561</v>
      </c>
      <c r="CL20" s="1">
        <f>CL18+CL19</f>
        <v>5340</v>
      </c>
      <c r="CM20" s="23">
        <v>0.11</v>
      </c>
      <c r="CN20" s="1">
        <f>CN18+CN19</f>
        <v>5439</v>
      </c>
      <c r="CO20" s="3">
        <f>CN20/CN5</f>
        <v>9.4588014329936354E-2</v>
      </c>
      <c r="CP20" s="1">
        <f>CP18+CP19</f>
        <v>17800</v>
      </c>
      <c r="CQ20" s="3">
        <f>CP20/CP5</f>
        <v>0.25012295369914989</v>
      </c>
      <c r="CR20" s="1">
        <f>CR18+CR19</f>
        <v>2974</v>
      </c>
      <c r="CS20" s="3">
        <f>CR20/CR5</f>
        <v>3.6137843880626033E-2</v>
      </c>
      <c r="CT20" s="1">
        <f>CT18+CT19</f>
        <v>2974</v>
      </c>
      <c r="CU20" s="3">
        <f>CT20/CT5</f>
        <v>3.6137843880626033E-2</v>
      </c>
      <c r="CV20" s="1">
        <f>CV18+CV19</f>
        <v>2974</v>
      </c>
      <c r="CW20" s="3">
        <f>CV20/CV5</f>
        <v>3.6137843880626033E-2</v>
      </c>
      <c r="CX20" s="1">
        <f>CX18+CX19</f>
        <v>2974</v>
      </c>
      <c r="CY20" s="3">
        <f>CX20/CX5</f>
        <v>3.6137843880626033E-2</v>
      </c>
      <c r="CZ20" s="1">
        <f>CZ18+CZ19</f>
        <v>2974</v>
      </c>
      <c r="DA20" s="3">
        <f>CZ20/CZ5</f>
        <v>3.6137843880626033E-2</v>
      </c>
      <c r="DB20" s="1">
        <f>DB18+DB19</f>
        <v>2974</v>
      </c>
      <c r="DC20" s="3">
        <f>DB20/DB5</f>
        <v>3.6137843880626033E-2</v>
      </c>
      <c r="DD20" s="1">
        <f>DD18+DD19</f>
        <v>2974</v>
      </c>
      <c r="DE20" s="3">
        <f>DD20/DD5</f>
        <v>3.6137843880626033E-2</v>
      </c>
      <c r="DF20" s="1">
        <f>DF18+DF19</f>
        <v>2974</v>
      </c>
      <c r="DG20" s="3">
        <f>DF20/DF5</f>
        <v>3.6137843880626033E-2</v>
      </c>
      <c r="DH20" s="3"/>
      <c r="DI20" s="1">
        <f>DI18+DI19</f>
        <v>1079</v>
      </c>
      <c r="DJ20" s="3">
        <f>DI20/DI5</f>
        <v>2.1086162083992888E-2</v>
      </c>
      <c r="DK20" s="20">
        <v>21884</v>
      </c>
      <c r="DL20" s="23">
        <v>0.11</v>
      </c>
      <c r="DM20" s="20">
        <v>21884</v>
      </c>
      <c r="DN20" s="23">
        <v>0.11</v>
      </c>
      <c r="DP20" s="20">
        <v>21884</v>
      </c>
      <c r="DQ20" s="23">
        <v>0.11</v>
      </c>
      <c r="DR20" s="20">
        <v>21884</v>
      </c>
      <c r="DS20" s="23">
        <v>0.11</v>
      </c>
      <c r="DU20" s="20">
        <v>21884</v>
      </c>
      <c r="DV20" s="23">
        <v>0.11</v>
      </c>
    </row>
    <row r="21" spans="1:126" hidden="1">
      <c r="A21" s="1" t="s">
        <v>100</v>
      </c>
      <c r="C21" s="3"/>
      <c r="D21" s="1">
        <v>197</v>
      </c>
      <c r="E21" s="3"/>
      <c r="F21" s="1">
        <v>-37</v>
      </c>
      <c r="G21" s="3"/>
      <c r="H21" s="3"/>
      <c r="J21" s="3"/>
      <c r="L21" s="3"/>
      <c r="M21" s="3"/>
      <c r="O21" s="3"/>
      <c r="Q21" s="3"/>
      <c r="S21" s="3"/>
      <c r="U21" s="3"/>
      <c r="W21" s="3"/>
      <c r="Y21" s="3"/>
      <c r="Z21" s="3"/>
      <c r="AB21" s="3"/>
      <c r="AD21" s="3"/>
      <c r="AG21" s="3"/>
      <c r="AI21" s="3"/>
      <c r="AK21" s="3"/>
      <c r="AM21" s="3"/>
      <c r="AP21" s="3"/>
      <c r="AR21" s="3"/>
      <c r="AT21" s="3"/>
      <c r="AV21" s="3"/>
      <c r="AX21" s="3"/>
      <c r="AZ21" s="3"/>
      <c r="BA21" s="1">
        <v>245</v>
      </c>
      <c r="BB21" s="3"/>
      <c r="BD21" s="3"/>
      <c r="BG21" s="3"/>
      <c r="BJ21" s="3"/>
      <c r="BL21" s="3"/>
      <c r="BM21" s="3"/>
      <c r="BO21" s="3"/>
      <c r="BQ21" s="3"/>
      <c r="BS21" s="3"/>
      <c r="BT21" s="3"/>
      <c r="BV21" s="3"/>
      <c r="BX21" s="3"/>
      <c r="BY21" s="3"/>
      <c r="CA21" s="3"/>
      <c r="CB21" s="3"/>
      <c r="CD21" s="3"/>
      <c r="CF21" s="3"/>
      <c r="CG21" s="3"/>
      <c r="CI21" s="3"/>
      <c r="CK21" s="3"/>
      <c r="CL21" s="20"/>
      <c r="CM21" s="23"/>
      <c r="CO21" s="3"/>
      <c r="CQ21" s="3"/>
      <c r="CS21" s="3"/>
      <c r="CU21" s="3"/>
      <c r="CW21" s="3"/>
      <c r="CY21" s="3"/>
      <c r="DA21" s="3"/>
      <c r="DC21" s="3"/>
      <c r="DE21" s="3"/>
      <c r="DG21" s="3"/>
      <c r="DH21" s="3"/>
      <c r="DJ21" s="3"/>
      <c r="DK21" s="20"/>
      <c r="DL21" s="23"/>
      <c r="DM21" s="20"/>
      <c r="DN21" s="23"/>
      <c r="DP21" s="20"/>
      <c r="DQ21" s="23"/>
      <c r="DR21" s="20"/>
      <c r="DS21" s="23"/>
      <c r="DU21" s="20"/>
      <c r="DV21" s="23"/>
    </row>
    <row r="22" spans="1:126" hidden="1">
      <c r="A22" s="1" t="s">
        <v>6</v>
      </c>
      <c r="B22" s="24">
        <f>SUM(B20:B21)</f>
        <v>1094</v>
      </c>
      <c r="C22" s="3">
        <f>B22/B5</f>
        <v>5.3974049040406535E-2</v>
      </c>
      <c r="D22" s="24">
        <f>SUM(D20:D21)</f>
        <v>4410</v>
      </c>
      <c r="E22" s="3">
        <f>D22/D5</f>
        <v>5.8116549379299436E-2</v>
      </c>
      <c r="F22" s="24">
        <f>SUM(F20:F21)</f>
        <v>2907</v>
      </c>
      <c r="G22" s="3">
        <f>F22/F5</f>
        <v>6.9465685337411584E-2</v>
      </c>
      <c r="H22" s="3"/>
      <c r="I22" s="24">
        <f>SUM(I20:I21)</f>
        <v>3325</v>
      </c>
      <c r="J22" s="3">
        <f>I22/I5</f>
        <v>0.19774011299435029</v>
      </c>
      <c r="L22" s="3"/>
      <c r="M22" s="3"/>
      <c r="N22" s="24">
        <f>SUM(N20:N21)</f>
        <v>11373</v>
      </c>
      <c r="O22" s="3">
        <f>N22/N5</f>
        <v>0.24311671654553227</v>
      </c>
      <c r="P22" s="24">
        <f>SUM(P20:P21)</f>
        <v>3875</v>
      </c>
      <c r="Q22" s="3">
        <f>P22/P5</f>
        <v>0.1175988589117174</v>
      </c>
      <c r="R22" s="24">
        <f>SUM(R20:R21)</f>
        <v>5628</v>
      </c>
      <c r="S22" s="3">
        <f>R22/R5</f>
        <v>0.21233729485002831</v>
      </c>
      <c r="T22" s="24">
        <f>SUM(T20:T21)</f>
        <v>9292</v>
      </c>
      <c r="U22" s="3">
        <f>T22/T5</f>
        <v>0.16042817679558011</v>
      </c>
      <c r="V22" s="24">
        <f>SUM(V20:V21)</f>
        <v>2571</v>
      </c>
      <c r="W22" s="3">
        <f>V22/V5</f>
        <v>9.9996110614134034E-2</v>
      </c>
      <c r="X22" s="24">
        <f>SUM(X20:X21)</f>
        <v>25184</v>
      </c>
      <c r="Y22" s="3">
        <f>X22/X5</f>
        <v>0.30134494806873113</v>
      </c>
      <c r="Z22" s="3"/>
      <c r="AA22" s="24">
        <f>SUM(AA20:AA21)</f>
        <v>2472</v>
      </c>
      <c r="AB22" s="3">
        <f>AA22/AA5</f>
        <v>6.7674113009198428E-2</v>
      </c>
      <c r="AC22" s="24">
        <f>SUM(AC20:AC21)</f>
        <v>5222</v>
      </c>
      <c r="AD22" s="3">
        <f>AC22/AC5</f>
        <v>6.6328798790788651E-2</v>
      </c>
      <c r="AF22" s="24">
        <f>SUM(AF20:AF21)</f>
        <v>673</v>
      </c>
      <c r="AG22" s="3">
        <f>AF22/AF5</f>
        <v>1.5142310721115985E-2</v>
      </c>
      <c r="AI22" s="3"/>
      <c r="AJ22" s="24">
        <f>SUM(AJ20:AJ21)</f>
        <v>7003</v>
      </c>
      <c r="AK22" s="3">
        <f>AJ22/AJ5</f>
        <v>0.1508714479608764</v>
      </c>
      <c r="AL22" s="24">
        <f>SUM(AL20:AL21)</f>
        <v>4969</v>
      </c>
      <c r="AM22" s="3">
        <f>AL22/AL5</f>
        <v>8.7082245316415771E-2</v>
      </c>
      <c r="AO22" s="24">
        <f>SUM(AO20:AO21)</f>
        <v>16526</v>
      </c>
      <c r="AP22" s="3">
        <f>AO22/AO5</f>
        <v>3.6623932097465846E-2</v>
      </c>
      <c r="AQ22" s="24">
        <f>SUM(AQ20:AQ21)</f>
        <v>23758</v>
      </c>
      <c r="AR22" s="3">
        <f>AQ22/AQ5</f>
        <v>6.2663529709655635E-2</v>
      </c>
      <c r="AS22" s="24">
        <f>SUM(AS20:AS21)</f>
        <v>4959</v>
      </c>
      <c r="AT22" s="3">
        <f>AS22/AS5</f>
        <v>4.3235655684106818E-2</v>
      </c>
      <c r="AU22" s="24">
        <f>SUM(AU20:AU21)</f>
        <v>69500</v>
      </c>
      <c r="AV22" s="3">
        <f>AU22/AU5</f>
        <v>9.8483774975201929E-2</v>
      </c>
      <c r="AW22" s="24">
        <f>SUM(AW20:AW21)</f>
        <v>69500</v>
      </c>
      <c r="AX22" s="3">
        <f>AW22/AW5</f>
        <v>9.8483774975201929E-2</v>
      </c>
      <c r="AY22" s="24">
        <f>SUM(AY20:AY21)</f>
        <v>69500</v>
      </c>
      <c r="AZ22" s="3">
        <f>AY22/AY5</f>
        <v>9.8483774975201929E-2</v>
      </c>
      <c r="BA22" s="24">
        <f>SUM(BA20:BA21)</f>
        <v>2450</v>
      </c>
      <c r="BB22" s="3">
        <f>BA22/BA5</f>
        <v>0.12765735723218008</v>
      </c>
      <c r="BC22" s="24">
        <f>SUM(BC20:BC21)</f>
        <v>8661</v>
      </c>
      <c r="BD22" s="3">
        <f>BC22/BC5</f>
        <v>5.045585622323847E-2</v>
      </c>
      <c r="BG22" s="3"/>
      <c r="BI22" s="24">
        <f>SUM(BI20:BI21)</f>
        <v>3947</v>
      </c>
      <c r="BJ22" s="3">
        <f>BI22/BI5</f>
        <v>0.13540773268379705</v>
      </c>
      <c r="BK22" s="24">
        <f>SUM(BK20:BK21)</f>
        <v>2961</v>
      </c>
      <c r="BL22" s="3">
        <f>BK22/BK5</f>
        <v>0.12887360724233984</v>
      </c>
      <c r="BM22" s="3"/>
      <c r="BN22" s="24">
        <f>SUM(BN20:BN21)</f>
        <v>3511</v>
      </c>
      <c r="BO22" s="3">
        <f>BN22/BN5</f>
        <v>0.15125145392667902</v>
      </c>
      <c r="BP22" s="24">
        <f>SUM(BP20:BP21)</f>
        <v>9434</v>
      </c>
      <c r="BQ22" s="3">
        <f>BP22/BP5</f>
        <v>0.23728557774535944</v>
      </c>
      <c r="BR22" s="24">
        <f>SUM(BR20:BR21)</f>
        <v>2594</v>
      </c>
      <c r="BS22" s="3">
        <f>BR22/BR5</f>
        <v>0.22688708125601328</v>
      </c>
      <c r="BT22" s="3"/>
      <c r="BU22" s="24">
        <f>SUM(BU20:BU21)</f>
        <v>10445</v>
      </c>
      <c r="BV22" s="3">
        <f>BU22/BU5</f>
        <v>0.11333796306343454</v>
      </c>
      <c r="BW22" s="24">
        <f>SUM(BW20:BW21)</f>
        <v>5263</v>
      </c>
      <c r="BX22" s="3">
        <f>BW22/BW5</f>
        <v>0.10568909773681145</v>
      </c>
      <c r="BY22" s="3"/>
      <c r="BZ22" s="24">
        <f>SUM(BZ20:BZ21)</f>
        <v>4122</v>
      </c>
      <c r="CA22" s="3">
        <f>BZ22/BZ5</f>
        <v>0.27136273864384464</v>
      </c>
      <c r="CB22" s="3"/>
      <c r="CC22" s="24">
        <f>SUM(CC20:CC21)</f>
        <v>2382</v>
      </c>
      <c r="CD22" s="3">
        <f>CC22/CC5</f>
        <v>0.14243004066012915</v>
      </c>
      <c r="CE22" s="24">
        <f>SUM(CE20:CE21)</f>
        <v>17152</v>
      </c>
      <c r="CF22" s="3">
        <f>CE22/CE5</f>
        <v>0.1334142281545091</v>
      </c>
      <c r="CG22" s="3"/>
      <c r="CH22" s="24">
        <f>SUM(CH20:CH21)</f>
        <v>9145</v>
      </c>
      <c r="CI22" s="3">
        <f>CH22/CH5</f>
        <v>4.6419670367042795E-2</v>
      </c>
      <c r="CJ22" s="24">
        <f>SUM(CJ20:CJ21)</f>
        <v>21884</v>
      </c>
      <c r="CK22" s="3">
        <f>CJ22/CJ5</f>
        <v>0.11357927297639561</v>
      </c>
      <c r="CL22" s="24">
        <f>SUM(CL20:CL21)</f>
        <v>5340</v>
      </c>
      <c r="CM22" s="3">
        <f>CL22/CL5</f>
        <v>7.0209576901838072E-2</v>
      </c>
      <c r="CN22" s="24">
        <f>SUM(CN20:CN21)</f>
        <v>5439</v>
      </c>
      <c r="CO22" s="3">
        <f>CN22/CN5</f>
        <v>9.4588014329936354E-2</v>
      </c>
      <c r="CP22" s="24">
        <f>SUM(CP20:CP21)</f>
        <v>17800</v>
      </c>
      <c r="CQ22" s="3">
        <f>CP22/CP5</f>
        <v>0.25012295369914989</v>
      </c>
      <c r="CR22" s="24">
        <f>SUM(CR20:CR21)</f>
        <v>2974</v>
      </c>
      <c r="CS22" s="3">
        <f>CR22/CR5</f>
        <v>3.6137843880626033E-2</v>
      </c>
      <c r="CT22" s="24">
        <f>SUM(CT20:CT21)</f>
        <v>2974</v>
      </c>
      <c r="CU22" s="3">
        <f>CT22/CT5</f>
        <v>3.6137843880626033E-2</v>
      </c>
      <c r="CV22" s="24">
        <f>SUM(CV20:CV21)</f>
        <v>2974</v>
      </c>
      <c r="CW22" s="3">
        <f>CV22/CV5</f>
        <v>3.6137843880626033E-2</v>
      </c>
      <c r="CX22" s="24">
        <f>SUM(CX20:CX21)</f>
        <v>2974</v>
      </c>
      <c r="CY22" s="3">
        <f>CX22/CX5</f>
        <v>3.6137843880626033E-2</v>
      </c>
      <c r="CZ22" s="24">
        <f>SUM(CZ20:CZ21)</f>
        <v>2974</v>
      </c>
      <c r="DA22" s="3">
        <f>CZ22/CZ5</f>
        <v>3.6137843880626033E-2</v>
      </c>
      <c r="DB22" s="24">
        <f>SUM(DB20:DB21)</f>
        <v>2974</v>
      </c>
      <c r="DC22" s="3">
        <f>DB22/DB5</f>
        <v>3.6137843880626033E-2</v>
      </c>
      <c r="DD22" s="24">
        <f>SUM(DD20:DD21)</f>
        <v>2974</v>
      </c>
      <c r="DE22" s="3">
        <f>DD22/DD5</f>
        <v>3.6137843880626033E-2</v>
      </c>
      <c r="DF22" s="24">
        <f>SUM(DF20:DF21)</f>
        <v>2974</v>
      </c>
      <c r="DG22" s="3">
        <f>DF22/DF5</f>
        <v>3.6137843880626033E-2</v>
      </c>
      <c r="DH22" s="3"/>
      <c r="DI22" s="24">
        <f>SUM(DI20:DI21)</f>
        <v>1079</v>
      </c>
      <c r="DJ22" s="3">
        <f>DI22/DI5</f>
        <v>2.1086162083992888E-2</v>
      </c>
      <c r="DK22" s="24">
        <f>SUM(DK20:DK21)</f>
        <v>21884</v>
      </c>
      <c r="DL22" s="3">
        <f>DK22/DK5</f>
        <v>0.11357927297639561</v>
      </c>
      <c r="DM22" s="24">
        <f>SUM(DM20:DM21)</f>
        <v>21884</v>
      </c>
      <c r="DN22" s="3">
        <f>DM22/DM5</f>
        <v>0.11357927297639561</v>
      </c>
      <c r="DP22" s="24">
        <f>SUM(DP20:DP21)</f>
        <v>21884</v>
      </c>
      <c r="DQ22" s="3">
        <f>DP22/DP5</f>
        <v>0.11357927297639561</v>
      </c>
      <c r="DR22" s="24">
        <f>SUM(DR20:DR21)</f>
        <v>21884</v>
      </c>
      <c r="DS22" s="3">
        <f>DR22/DR5</f>
        <v>0.11357927297639561</v>
      </c>
      <c r="DU22" s="24">
        <f>SUM(DU20:DU21)</f>
        <v>21884</v>
      </c>
      <c r="DV22" s="3">
        <f>DU22/DU5</f>
        <v>0.11357927297639561</v>
      </c>
    </row>
    <row r="23" spans="1:126" hidden="1">
      <c r="CL23" s="20"/>
      <c r="CM23" s="20"/>
      <c r="DK23" s="20"/>
      <c r="DL23" s="20"/>
      <c r="DM23" s="20"/>
      <c r="DN23" s="20"/>
      <c r="DP23" s="20"/>
      <c r="DQ23" s="20"/>
      <c r="DR23" s="20"/>
      <c r="DS23" s="20"/>
      <c r="DU23" s="20"/>
      <c r="DV23" s="20"/>
    </row>
    <row r="24" spans="1:126" ht="18" hidden="1">
      <c r="A24" s="11" t="s">
        <v>30</v>
      </c>
      <c r="CL24" s="20"/>
      <c r="CM24" s="20"/>
      <c r="DK24" s="20"/>
      <c r="DL24" s="20"/>
      <c r="DM24" s="20"/>
      <c r="DN24" s="20"/>
      <c r="DP24" s="20"/>
      <c r="DQ24" s="20"/>
      <c r="DR24" s="20"/>
      <c r="DS24" s="20"/>
      <c r="DU24" s="20"/>
      <c r="DV24" s="20"/>
    </row>
    <row r="25" spans="1:126" hidden="1">
      <c r="A25" s="7" t="s">
        <v>25</v>
      </c>
      <c r="CL25" s="20"/>
      <c r="CM25" s="20"/>
      <c r="DK25" s="20"/>
      <c r="DL25" s="20"/>
      <c r="DM25" s="20"/>
      <c r="DN25" s="20"/>
      <c r="DP25" s="20"/>
      <c r="DQ25" s="20"/>
      <c r="DR25" s="20"/>
      <c r="DS25" s="20"/>
      <c r="DU25" s="20"/>
      <c r="DV25" s="20"/>
    </row>
    <row r="26" spans="1:126" hidden="1">
      <c r="A26" s="1" t="s">
        <v>71</v>
      </c>
      <c r="B26" s="1">
        <v>7518</v>
      </c>
      <c r="D26" s="1">
        <v>17883</v>
      </c>
      <c r="F26" s="1">
        <v>10670</v>
      </c>
      <c r="I26" s="1">
        <v>13688</v>
      </c>
      <c r="K26" s="1">
        <v>1628</v>
      </c>
      <c r="N26" s="1">
        <v>7145</v>
      </c>
      <c r="P26" s="1">
        <v>37134</v>
      </c>
      <c r="R26" s="1">
        <v>4205</v>
      </c>
      <c r="T26" s="1">
        <v>31026</v>
      </c>
      <c r="V26" s="1">
        <v>9981</v>
      </c>
      <c r="Y26" s="43"/>
      <c r="AA26" s="1">
        <v>9160</v>
      </c>
      <c r="AC26" s="1">
        <v>6385</v>
      </c>
      <c r="AF26" s="1">
        <v>30372</v>
      </c>
      <c r="AH26" s="1">
        <v>50041</v>
      </c>
      <c r="AJ26" s="1">
        <v>38350</v>
      </c>
      <c r="AL26" s="1">
        <v>23434</v>
      </c>
      <c r="AQ26" s="1">
        <v>12181</v>
      </c>
      <c r="AU26" s="1">
        <v>9700</v>
      </c>
      <c r="AW26" s="1">
        <v>9700</v>
      </c>
      <c r="AY26" s="1">
        <v>9700</v>
      </c>
      <c r="BA26" s="1">
        <v>25</v>
      </c>
      <c r="BF26" s="1">
        <v>1965</v>
      </c>
      <c r="BI26" s="1">
        <v>9959</v>
      </c>
      <c r="BK26" s="1">
        <v>6458</v>
      </c>
      <c r="BN26" s="1">
        <v>19862</v>
      </c>
      <c r="BP26" s="1">
        <v>51766</v>
      </c>
      <c r="BR26" s="1">
        <v>1377</v>
      </c>
      <c r="BU26" s="1">
        <v>31039</v>
      </c>
      <c r="BW26" s="1">
        <v>13917</v>
      </c>
      <c r="BZ26" s="1">
        <v>10793</v>
      </c>
      <c r="CC26" s="1">
        <v>203</v>
      </c>
      <c r="CD26" s="43" t="s">
        <v>66</v>
      </c>
      <c r="CE26" s="1">
        <v>64</v>
      </c>
      <c r="CF26" s="43" t="s">
        <v>66</v>
      </c>
      <c r="CG26" s="43"/>
      <c r="CJ26" s="1">
        <v>23935</v>
      </c>
      <c r="CL26" s="20"/>
      <c r="CM26" s="20"/>
      <c r="CN26" s="1">
        <v>9994</v>
      </c>
      <c r="CP26" s="1">
        <v>29918</v>
      </c>
      <c r="CR26" s="1">
        <v>24626</v>
      </c>
      <c r="CT26" s="1">
        <v>24626</v>
      </c>
      <c r="CV26" s="1">
        <v>24626</v>
      </c>
      <c r="CX26" s="1">
        <v>24626</v>
      </c>
      <c r="CZ26" s="1">
        <v>24626</v>
      </c>
      <c r="DB26" s="1">
        <v>24626</v>
      </c>
      <c r="DD26" s="1">
        <v>24626</v>
      </c>
      <c r="DF26" s="1">
        <v>24626</v>
      </c>
      <c r="DI26" s="1">
        <v>1349</v>
      </c>
      <c r="DK26" s="20">
        <v>23935</v>
      </c>
      <c r="DL26" s="20"/>
      <c r="DM26" s="20">
        <v>23935</v>
      </c>
      <c r="DN26" s="20"/>
      <c r="DP26" s="20">
        <v>23935</v>
      </c>
      <c r="DQ26" s="20"/>
      <c r="DR26" s="20">
        <v>23935</v>
      </c>
      <c r="DS26" s="20"/>
      <c r="DU26" s="20">
        <v>23935</v>
      </c>
      <c r="DV26" s="20"/>
    </row>
    <row r="27" spans="1:126" hidden="1">
      <c r="A27" s="1" t="s">
        <v>72</v>
      </c>
      <c r="D27" s="1">
        <v>5057</v>
      </c>
      <c r="F27" s="1">
        <v>3297</v>
      </c>
      <c r="I27" s="1">
        <v>2956</v>
      </c>
      <c r="N27" s="1">
        <v>3944</v>
      </c>
      <c r="P27" s="1">
        <v>15395</v>
      </c>
      <c r="R27" s="1">
        <v>9283</v>
      </c>
      <c r="T27" s="1">
        <v>27841</v>
      </c>
      <c r="V27" s="1">
        <v>16047</v>
      </c>
      <c r="X27" s="1">
        <v>1615</v>
      </c>
      <c r="Y27" s="43"/>
      <c r="AA27" s="1">
        <v>10295</v>
      </c>
      <c r="AC27" s="1">
        <v>5856</v>
      </c>
      <c r="AF27" s="1">
        <v>22025</v>
      </c>
      <c r="AJ27" s="1">
        <v>21164</v>
      </c>
      <c r="AL27" s="1">
        <v>18548</v>
      </c>
      <c r="AO27" s="1">
        <v>4394</v>
      </c>
      <c r="AQ27" s="1">
        <v>22039</v>
      </c>
      <c r="AS27" s="1">
        <v>4487</v>
      </c>
      <c r="AU27" s="1">
        <v>77900</v>
      </c>
      <c r="AW27" s="1">
        <v>77900</v>
      </c>
      <c r="AY27" s="1">
        <v>77900</v>
      </c>
      <c r="BA27" s="1">
        <v>3864</v>
      </c>
      <c r="BC27" s="1">
        <v>13341</v>
      </c>
      <c r="BI27" s="1">
        <v>11458</v>
      </c>
      <c r="BK27" s="1">
        <v>2547</v>
      </c>
      <c r="BN27" s="1">
        <v>9636</v>
      </c>
      <c r="BP27" s="1">
        <v>24371</v>
      </c>
      <c r="BR27" s="1">
        <v>7671</v>
      </c>
      <c r="BU27" s="1">
        <v>12673</v>
      </c>
      <c r="BW27" s="1">
        <v>6987</v>
      </c>
      <c r="BZ27" s="1">
        <v>917</v>
      </c>
      <c r="CC27" s="1">
        <f>509+133</f>
        <v>642</v>
      </c>
      <c r="CD27" s="43"/>
      <c r="CE27" s="1">
        <f>208+58+591+1355</f>
        <v>2212</v>
      </c>
      <c r="CF27" s="43"/>
      <c r="CG27" s="43"/>
      <c r="CH27" s="1">
        <v>59242</v>
      </c>
      <c r="CJ27" s="1">
        <v>29223</v>
      </c>
      <c r="CL27" s="20">
        <v>6179</v>
      </c>
      <c r="CM27" s="20"/>
      <c r="CN27" s="1">
        <v>2577</v>
      </c>
      <c r="CR27" s="1">
        <v>3436</v>
      </c>
      <c r="CT27" s="1">
        <v>3436</v>
      </c>
      <c r="CV27" s="1">
        <v>3436</v>
      </c>
      <c r="CX27" s="1">
        <v>3436</v>
      </c>
      <c r="CZ27" s="1">
        <v>3436</v>
      </c>
      <c r="DB27" s="1">
        <v>3436</v>
      </c>
      <c r="DD27" s="1">
        <v>3436</v>
      </c>
      <c r="DF27" s="1">
        <v>3436</v>
      </c>
      <c r="DI27" s="1">
        <v>5421</v>
      </c>
      <c r="DK27" s="20">
        <v>29223</v>
      </c>
      <c r="DL27" s="20"/>
      <c r="DM27" s="20">
        <v>29223</v>
      </c>
      <c r="DN27" s="20"/>
      <c r="DP27" s="20">
        <v>29223</v>
      </c>
      <c r="DQ27" s="20"/>
      <c r="DR27" s="20">
        <v>29223</v>
      </c>
      <c r="DS27" s="20"/>
      <c r="DU27" s="20">
        <v>29223</v>
      </c>
      <c r="DV27" s="20"/>
    </row>
    <row r="28" spans="1:126" hidden="1">
      <c r="A28" s="1" t="s">
        <v>11</v>
      </c>
      <c r="B28" s="1">
        <v>3024</v>
      </c>
      <c r="D28" s="1">
        <v>9815</v>
      </c>
      <c r="F28" s="1">
        <v>6254</v>
      </c>
      <c r="I28" s="1">
        <v>1820</v>
      </c>
      <c r="K28" s="1">
        <v>129</v>
      </c>
      <c r="N28" s="1">
        <v>15760</v>
      </c>
      <c r="P28" s="1">
        <v>10182</v>
      </c>
      <c r="R28" s="1">
        <v>8872</v>
      </c>
      <c r="T28" s="1">
        <v>18197</v>
      </c>
      <c r="V28" s="1">
        <v>5818</v>
      </c>
      <c r="X28" s="1">
        <v>21882</v>
      </c>
      <c r="AA28" s="1">
        <v>9823</v>
      </c>
      <c r="AC28" s="1">
        <v>18177</v>
      </c>
      <c r="AF28" s="1">
        <v>20331</v>
      </c>
      <c r="AH28" s="1">
        <v>35019</v>
      </c>
      <c r="AJ28" s="1">
        <v>18655</v>
      </c>
      <c r="AL28" s="1">
        <v>31040</v>
      </c>
      <c r="AO28" s="1">
        <v>191897</v>
      </c>
      <c r="AQ28" s="1">
        <v>133690</v>
      </c>
      <c r="AS28" s="1">
        <v>64798</v>
      </c>
      <c r="AU28" s="1">
        <v>439100</v>
      </c>
      <c r="AW28" s="1">
        <v>439100</v>
      </c>
      <c r="AY28" s="1">
        <v>439100</v>
      </c>
      <c r="BA28" s="1">
        <v>42225</v>
      </c>
      <c r="BC28" s="1">
        <v>75759</v>
      </c>
      <c r="BF28" s="1">
        <v>9926</v>
      </c>
      <c r="BI28" s="1">
        <v>9602</v>
      </c>
      <c r="BK28" s="1">
        <v>3054</v>
      </c>
      <c r="BN28" s="1">
        <v>9059</v>
      </c>
      <c r="BP28" s="1">
        <v>16461</v>
      </c>
      <c r="BR28" s="1">
        <v>3504</v>
      </c>
      <c r="BU28" s="1">
        <v>26895</v>
      </c>
      <c r="BW28" s="1">
        <v>9344</v>
      </c>
      <c r="BZ28" s="1">
        <v>3201</v>
      </c>
      <c r="CC28" s="1">
        <v>5138</v>
      </c>
      <c r="CE28" s="1">
        <v>22186</v>
      </c>
      <c r="CH28" s="1">
        <v>42389</v>
      </c>
      <c r="CJ28" s="1">
        <v>59458</v>
      </c>
      <c r="CL28" s="20">
        <v>15113</v>
      </c>
      <c r="CM28" s="20"/>
      <c r="CN28" s="1">
        <f>17177+713</f>
        <v>17890</v>
      </c>
      <c r="CP28" s="1">
        <v>10847</v>
      </c>
      <c r="CR28" s="1">
        <v>13860</v>
      </c>
      <c r="CT28" s="1">
        <v>13860</v>
      </c>
      <c r="CV28" s="1">
        <v>13860</v>
      </c>
      <c r="CX28" s="1">
        <v>13860</v>
      </c>
      <c r="CZ28" s="1">
        <v>13860</v>
      </c>
      <c r="DB28" s="1">
        <v>13860</v>
      </c>
      <c r="DD28" s="1">
        <v>13860</v>
      </c>
      <c r="DF28" s="1">
        <v>13860</v>
      </c>
      <c r="DI28" s="1">
        <v>70827</v>
      </c>
      <c r="DK28" s="20">
        <v>59458</v>
      </c>
      <c r="DL28" s="20"/>
      <c r="DM28" s="20">
        <v>59458</v>
      </c>
      <c r="DN28" s="20"/>
      <c r="DP28" s="20">
        <v>59458</v>
      </c>
      <c r="DQ28" s="20"/>
      <c r="DR28" s="20">
        <v>59458</v>
      </c>
      <c r="DS28" s="20"/>
      <c r="DU28" s="20">
        <v>59458</v>
      </c>
      <c r="DV28" s="20"/>
    </row>
    <row r="29" spans="1:126" hidden="1">
      <c r="A29" s="1" t="s">
        <v>102</v>
      </c>
      <c r="D29" s="1">
        <v>3022</v>
      </c>
      <c r="F29" s="1">
        <v>197</v>
      </c>
      <c r="P29" s="1">
        <v>448</v>
      </c>
      <c r="R29" s="1">
        <f>1202+323</f>
        <v>1525</v>
      </c>
      <c r="T29" s="1">
        <v>9225</v>
      </c>
      <c r="V29" s="1">
        <v>281</v>
      </c>
      <c r="AF29" s="1">
        <f>38635+774</f>
        <v>39409</v>
      </c>
      <c r="AL29" s="1">
        <v>2424</v>
      </c>
      <c r="AO29" s="1">
        <v>34613</v>
      </c>
      <c r="AQ29" s="1">
        <f>9199+16636+1565</f>
        <v>27400</v>
      </c>
      <c r="AS29" s="1">
        <f>3453</f>
        <v>3453</v>
      </c>
      <c r="BA29" s="1">
        <v>2933</v>
      </c>
      <c r="BC29" s="1">
        <f>14804+1207</f>
        <v>16011</v>
      </c>
      <c r="BI29" s="1">
        <v>152</v>
      </c>
      <c r="BU29" s="1">
        <v>12315</v>
      </c>
      <c r="CC29" s="1">
        <v>21</v>
      </c>
      <c r="CH29" s="1">
        <f>427+7934+3941</f>
        <v>12302</v>
      </c>
      <c r="CL29" s="20">
        <f>652+553</f>
        <v>1205</v>
      </c>
      <c r="CM29" s="20"/>
      <c r="CN29" s="1">
        <v>5747</v>
      </c>
      <c r="CP29" s="1">
        <v>16640</v>
      </c>
      <c r="DI29" s="1">
        <v>3957</v>
      </c>
      <c r="DK29" s="20"/>
      <c r="DL29" s="20"/>
      <c r="DM29" s="20"/>
      <c r="DN29" s="20"/>
      <c r="DP29" s="20"/>
      <c r="DQ29" s="20"/>
      <c r="DR29" s="20"/>
      <c r="DS29" s="20"/>
      <c r="DU29" s="20"/>
      <c r="DV29" s="20"/>
    </row>
    <row r="30" spans="1:126" hidden="1">
      <c r="A30" s="1" t="s">
        <v>140</v>
      </c>
      <c r="D30" s="1">
        <v>15117</v>
      </c>
      <c r="I30" s="1">
        <v>607</v>
      </c>
      <c r="P30" s="1">
        <v>4826</v>
      </c>
      <c r="T30" s="1">
        <v>1523</v>
      </c>
      <c r="V30" s="1">
        <f>365+1867</f>
        <v>2232</v>
      </c>
      <c r="X30" s="1">
        <v>551</v>
      </c>
      <c r="AF30" s="1">
        <f>52+4302</f>
        <v>4354</v>
      </c>
      <c r="AL30" s="1">
        <v>7775</v>
      </c>
      <c r="AO30" s="1">
        <v>4715</v>
      </c>
      <c r="AQ30" s="1">
        <f>763+5985+3509+922</f>
        <v>11179</v>
      </c>
      <c r="AS30" s="1">
        <f>5085+913</f>
        <v>5998</v>
      </c>
      <c r="BC30" s="1">
        <v>1028</v>
      </c>
      <c r="BI30" s="1">
        <v>7080</v>
      </c>
      <c r="BK30" s="1">
        <v>9208</v>
      </c>
      <c r="BU30" s="1">
        <f>4550+537</f>
        <v>5087</v>
      </c>
      <c r="BW30" s="1">
        <f>505+991</f>
        <v>1496</v>
      </c>
      <c r="CC30" s="1">
        <v>82</v>
      </c>
      <c r="CE30" s="1">
        <v>659</v>
      </c>
      <c r="CH30" s="1">
        <f>22259+51198+7040</f>
        <v>80497</v>
      </c>
      <c r="CL30" s="20">
        <f>32616+2593</f>
        <v>35209</v>
      </c>
      <c r="CM30" s="20"/>
      <c r="CN30" s="1">
        <v>89105</v>
      </c>
      <c r="CP30" s="1">
        <f>149912+296361+450521</f>
        <v>896794</v>
      </c>
      <c r="DI30" s="1">
        <f>2140+983</f>
        <v>3123</v>
      </c>
      <c r="DK30" s="20"/>
      <c r="DL30" s="20"/>
      <c r="DM30" s="20"/>
      <c r="DN30" s="20"/>
      <c r="DP30" s="20"/>
      <c r="DQ30" s="20"/>
      <c r="DR30" s="20"/>
      <c r="DS30" s="20"/>
      <c r="DU30" s="20"/>
      <c r="DV30" s="20"/>
    </row>
    <row r="31" spans="1:126" hidden="1">
      <c r="A31" s="1" t="s">
        <v>19</v>
      </c>
      <c r="B31" s="1">
        <v>1711</v>
      </c>
      <c r="D31" s="1">
        <v>3234</v>
      </c>
      <c r="F31" s="1">
        <v>370</v>
      </c>
      <c r="I31" s="1">
        <v>294</v>
      </c>
      <c r="K31" s="1">
        <v>19</v>
      </c>
      <c r="N31" s="1">
        <v>4707</v>
      </c>
      <c r="P31" s="1">
        <v>4154</v>
      </c>
      <c r="R31" s="1">
        <v>2084</v>
      </c>
      <c r="T31" s="1">
        <v>7375</v>
      </c>
      <c r="V31" s="1">
        <v>1205</v>
      </c>
      <c r="X31" s="1">
        <v>4231</v>
      </c>
      <c r="AA31" s="1">
        <v>1311</v>
      </c>
      <c r="AC31" s="1">
        <v>1545</v>
      </c>
      <c r="AF31" s="1">
        <v>2920</v>
      </c>
      <c r="AH31" s="1">
        <v>7308</v>
      </c>
      <c r="AJ31" s="1">
        <v>1970</v>
      </c>
      <c r="AL31" s="1">
        <v>6376</v>
      </c>
      <c r="AO31" s="1">
        <v>5785</v>
      </c>
      <c r="AQ31" s="1">
        <v>985</v>
      </c>
      <c r="AS31" s="1">
        <v>5005</v>
      </c>
      <c r="AU31" s="1">
        <v>3900</v>
      </c>
      <c r="AW31" s="1">
        <v>3900</v>
      </c>
      <c r="AY31" s="1">
        <v>3900</v>
      </c>
      <c r="BA31" s="1">
        <v>1397</v>
      </c>
      <c r="BC31" s="1">
        <v>2810</v>
      </c>
      <c r="BF31" s="1">
        <v>450</v>
      </c>
      <c r="BI31" s="1">
        <v>432</v>
      </c>
      <c r="BK31" s="1">
        <v>677</v>
      </c>
      <c r="BN31" s="1">
        <v>71</v>
      </c>
      <c r="BP31" s="1">
        <v>807</v>
      </c>
      <c r="BR31" s="1">
        <v>243</v>
      </c>
      <c r="BU31" s="1">
        <v>2243</v>
      </c>
      <c r="BZ31" s="1">
        <v>327</v>
      </c>
      <c r="CC31" s="1">
        <v>530</v>
      </c>
      <c r="CE31" s="1">
        <v>1367</v>
      </c>
      <c r="CH31" s="1">
        <v>5622</v>
      </c>
      <c r="CJ31" s="1">
        <v>7915</v>
      </c>
      <c r="CL31" s="20">
        <v>1620</v>
      </c>
      <c r="CM31" s="20"/>
      <c r="CN31" s="1">
        <v>9048</v>
      </c>
      <c r="CP31" s="1">
        <v>7456</v>
      </c>
      <c r="CR31" s="1">
        <v>19757</v>
      </c>
      <c r="CT31" s="1">
        <v>19757</v>
      </c>
      <c r="CV31" s="1">
        <v>19757</v>
      </c>
      <c r="CX31" s="1">
        <v>19757</v>
      </c>
      <c r="CZ31" s="1">
        <v>19757</v>
      </c>
      <c r="DB31" s="1">
        <v>19757</v>
      </c>
      <c r="DD31" s="1">
        <v>19757</v>
      </c>
      <c r="DF31" s="1">
        <v>19757</v>
      </c>
      <c r="DI31" s="1">
        <v>3555</v>
      </c>
      <c r="DK31" s="20">
        <v>7915</v>
      </c>
      <c r="DL31" s="20"/>
      <c r="DM31" s="20">
        <v>7915</v>
      </c>
      <c r="DN31" s="20"/>
      <c r="DP31" s="20">
        <v>7915</v>
      </c>
      <c r="DQ31" s="20"/>
      <c r="DR31" s="20">
        <v>7915</v>
      </c>
      <c r="DS31" s="20"/>
      <c r="DU31" s="20">
        <v>7915</v>
      </c>
      <c r="DV31" s="20"/>
    </row>
    <row r="32" spans="1:126" hidden="1">
      <c r="A32" s="1" t="s">
        <v>12</v>
      </c>
      <c r="B32" s="4">
        <v>1213</v>
      </c>
      <c r="D32" s="4">
        <v>871</v>
      </c>
      <c r="F32" s="4">
        <f>758+93</f>
        <v>851</v>
      </c>
      <c r="I32" s="4">
        <f>98+107+172</f>
        <v>377</v>
      </c>
      <c r="K32" s="4"/>
      <c r="N32" s="4">
        <f>636+811</f>
        <v>1447</v>
      </c>
      <c r="P32" s="4"/>
      <c r="R32" s="4">
        <v>890</v>
      </c>
      <c r="T32" s="4">
        <f>525</f>
        <v>525</v>
      </c>
      <c r="V32" s="4"/>
      <c r="X32" s="4"/>
      <c r="AA32" s="4">
        <v>2108</v>
      </c>
      <c r="AC32" s="4">
        <v>3575</v>
      </c>
      <c r="AF32" s="4"/>
      <c r="AH32" s="4">
        <v>11809</v>
      </c>
      <c r="AJ32" s="4">
        <v>39412</v>
      </c>
      <c r="AL32" s="4"/>
      <c r="AO32" s="4">
        <f>3574+9191</f>
        <v>12765</v>
      </c>
      <c r="AQ32" s="4">
        <v>1376</v>
      </c>
      <c r="AS32" s="4">
        <f>2541+4398</f>
        <v>6939</v>
      </c>
      <c r="AU32" s="4">
        <v>70800</v>
      </c>
      <c r="AW32" s="4">
        <v>70800</v>
      </c>
      <c r="AY32" s="4">
        <v>70800</v>
      </c>
      <c r="BA32" s="4">
        <f>777+623</f>
        <v>1400</v>
      </c>
      <c r="BC32" s="4">
        <v>3195</v>
      </c>
      <c r="BF32" s="4">
        <v>2470</v>
      </c>
      <c r="BI32" s="4">
        <v>909</v>
      </c>
      <c r="BK32" s="4"/>
      <c r="BN32" s="4">
        <v>11960</v>
      </c>
      <c r="BP32" s="4">
        <v>8586</v>
      </c>
      <c r="BR32" s="4">
        <v>3688</v>
      </c>
      <c r="BU32" s="4">
        <f>124</f>
        <v>124</v>
      </c>
      <c r="BW32" s="4">
        <f>563+1084</f>
        <v>1647</v>
      </c>
      <c r="BZ32" s="4">
        <v>2903</v>
      </c>
      <c r="CC32" s="4">
        <v>375</v>
      </c>
      <c r="CE32" s="4"/>
      <c r="CH32" s="4">
        <f>1456+633</f>
        <v>2089</v>
      </c>
      <c r="CJ32" s="4">
        <v>70051</v>
      </c>
      <c r="CL32" s="22">
        <f>25914+954</f>
        <v>26868</v>
      </c>
      <c r="CM32" s="20"/>
      <c r="CN32" s="4">
        <f>260111+305512</f>
        <v>565623</v>
      </c>
      <c r="CP32" s="4">
        <f>11006+985+17354</f>
        <v>29345</v>
      </c>
      <c r="CR32" s="4">
        <v>659706</v>
      </c>
      <c r="CT32" s="4">
        <v>659706</v>
      </c>
      <c r="CV32" s="4">
        <v>659706</v>
      </c>
      <c r="CX32" s="4">
        <v>659706</v>
      </c>
      <c r="CZ32" s="4">
        <v>659706</v>
      </c>
      <c r="DB32" s="4">
        <v>659706</v>
      </c>
      <c r="DD32" s="4">
        <v>659706</v>
      </c>
      <c r="DF32" s="4">
        <v>659706</v>
      </c>
      <c r="DI32" s="4">
        <v>511</v>
      </c>
      <c r="DK32" s="22">
        <v>70051</v>
      </c>
      <c r="DL32" s="20"/>
      <c r="DM32" s="22">
        <v>70051</v>
      </c>
      <c r="DN32" s="20"/>
      <c r="DP32" s="22">
        <v>70051</v>
      </c>
      <c r="DQ32" s="20"/>
      <c r="DR32" s="22">
        <v>70051</v>
      </c>
      <c r="DS32" s="20"/>
      <c r="DU32" s="22">
        <v>70051</v>
      </c>
      <c r="DV32" s="20"/>
    </row>
    <row r="33" spans="1:126" hidden="1">
      <c r="B33" s="1">
        <f>SUM(B26:B32)</f>
        <v>13466</v>
      </c>
      <c r="D33" s="1">
        <f>SUM(D26:D32)</f>
        <v>54999</v>
      </c>
      <c r="F33" s="1">
        <f>SUM(F26:F32)</f>
        <v>21639</v>
      </c>
      <c r="I33" s="1">
        <f>SUM(I26:I32)</f>
        <v>19742</v>
      </c>
      <c r="K33" s="1">
        <f>SUM(K26:K32)</f>
        <v>1776</v>
      </c>
      <c r="N33" s="1">
        <f>SUM(N26:N32)+N269</f>
        <v>33003</v>
      </c>
      <c r="P33" s="1">
        <f>SUM(P26:P32)</f>
        <v>72139</v>
      </c>
      <c r="R33" s="1">
        <f>SUM(R26:R32)</f>
        <v>26859</v>
      </c>
      <c r="T33" s="1">
        <f>SUM(T26:T32)</f>
        <v>95712</v>
      </c>
      <c r="V33" s="1">
        <f>SUM(V26:V32)</f>
        <v>35564</v>
      </c>
      <c r="X33" s="1">
        <f>SUM(X26:X32)</f>
        <v>28279</v>
      </c>
      <c r="AA33" s="1">
        <f>SUM(AA26:AA32)</f>
        <v>32697</v>
      </c>
      <c r="AC33" s="1">
        <f>SUM(AC26:AC32)</f>
        <v>35538</v>
      </c>
      <c r="AF33" s="1">
        <f>SUM(AF26:AF32)</f>
        <v>119411</v>
      </c>
      <c r="AH33" s="1">
        <f>SUM(AH26:AH32)</f>
        <v>104177</v>
      </c>
      <c r="AJ33" s="1">
        <f>SUM(AJ26:AJ32)</f>
        <v>119551</v>
      </c>
      <c r="AL33" s="1">
        <f>SUM(AL26:AL32)</f>
        <v>89597</v>
      </c>
      <c r="AO33" s="1">
        <f>SUM(AO26:AO32)</f>
        <v>254169</v>
      </c>
      <c r="AQ33" s="1">
        <f>SUM(AQ26:AQ32)</f>
        <v>208850</v>
      </c>
      <c r="AS33" s="1">
        <f>SUM(AS26:AS32)</f>
        <v>90680</v>
      </c>
      <c r="AU33" s="1">
        <f>SUM(AU26:AU32)</f>
        <v>601400</v>
      </c>
      <c r="AW33" s="1">
        <f>SUM(AW26:AW32)</f>
        <v>601400</v>
      </c>
      <c r="AY33" s="1">
        <f>SUM(AY26:AY32)</f>
        <v>601400</v>
      </c>
      <c r="BA33" s="1">
        <f>SUM(BA26:BA32)</f>
        <v>51844</v>
      </c>
      <c r="BC33" s="1">
        <f>SUM(BC26:BC32)</f>
        <v>112144</v>
      </c>
      <c r="BF33" s="1">
        <f>SUM(BF26:BF32)</f>
        <v>14811</v>
      </c>
      <c r="BI33" s="1">
        <f>SUM(BI26:BI32)</f>
        <v>39592</v>
      </c>
      <c r="BK33" s="1">
        <f>SUM(BK26:BK32)</f>
        <v>21944</v>
      </c>
      <c r="BN33" s="1">
        <f>SUM(BN26:BN32)</f>
        <v>50588</v>
      </c>
      <c r="BP33" s="1">
        <f>SUM(BP26:BP32)</f>
        <v>101991</v>
      </c>
      <c r="BR33" s="1">
        <f>SUM(BR26:BR32)</f>
        <v>16483</v>
      </c>
      <c r="BU33" s="1">
        <f>SUM(BU26:BU32)</f>
        <v>90376</v>
      </c>
      <c r="BW33" s="1">
        <f>SUM(BW26:BW32)</f>
        <v>33391</v>
      </c>
      <c r="BZ33" s="1">
        <f>SUM(BZ26:BZ32)</f>
        <v>18141</v>
      </c>
      <c r="CC33" s="1">
        <f>SUM(CC26:CC32)</f>
        <v>6991</v>
      </c>
      <c r="CE33" s="1">
        <f>SUM(CE26:CE32)</f>
        <v>26488</v>
      </c>
      <c r="CH33" s="1">
        <f>SUM(CH26:CH32)</f>
        <v>202141</v>
      </c>
      <c r="CJ33" s="1">
        <f>SUM(CJ26:CJ32)</f>
        <v>190582</v>
      </c>
      <c r="CL33" s="1">
        <f>SUM(CL26:CL32)</f>
        <v>86194</v>
      </c>
      <c r="CM33" s="20"/>
      <c r="CN33" s="1">
        <f>SUM(CN26:CN32)</f>
        <v>699984</v>
      </c>
      <c r="CP33" s="1">
        <f>SUM(CP26:CP32)</f>
        <v>991000</v>
      </c>
      <c r="CR33" s="1">
        <f>SUM(CR26:CR32)</f>
        <v>721385</v>
      </c>
      <c r="CT33" s="1">
        <f>SUM(CT26:CT32)</f>
        <v>721385</v>
      </c>
      <c r="CV33" s="1">
        <f>SUM(CV26:CV32)</f>
        <v>721385</v>
      </c>
      <c r="CX33" s="1">
        <f>SUM(CX26:CX32)</f>
        <v>721385</v>
      </c>
      <c r="CZ33" s="1">
        <f>SUM(CZ26:CZ32)</f>
        <v>721385</v>
      </c>
      <c r="DB33" s="1">
        <f>SUM(DB26:DB32)</f>
        <v>721385</v>
      </c>
      <c r="DD33" s="1">
        <f>SUM(DD26:DD32)</f>
        <v>721385</v>
      </c>
      <c r="DF33" s="1">
        <f>SUM(DF26:DF32)</f>
        <v>721385</v>
      </c>
      <c r="DI33" s="1">
        <f>SUM(DI26:DI32)</f>
        <v>88743</v>
      </c>
      <c r="DK33" s="20">
        <v>190582</v>
      </c>
      <c r="DL33" s="20"/>
      <c r="DM33" s="20">
        <v>190582</v>
      </c>
      <c r="DN33" s="20"/>
      <c r="DP33" s="20">
        <v>190582</v>
      </c>
      <c r="DQ33" s="20"/>
      <c r="DR33" s="20">
        <v>190582</v>
      </c>
      <c r="DS33" s="20"/>
      <c r="DU33" s="20">
        <v>190582</v>
      </c>
      <c r="DV33" s="20"/>
    </row>
    <row r="34" spans="1:126" hidden="1">
      <c r="A34" s="7" t="s">
        <v>26</v>
      </c>
      <c r="CL34" s="20"/>
      <c r="CM34" s="20"/>
      <c r="DK34" s="20"/>
      <c r="DL34" s="20"/>
      <c r="DM34" s="20"/>
      <c r="DN34" s="20"/>
      <c r="DP34" s="20"/>
      <c r="DQ34" s="20"/>
      <c r="DR34" s="20"/>
      <c r="DS34" s="20"/>
      <c r="DU34" s="20"/>
      <c r="DV34" s="20"/>
    </row>
    <row r="35" spans="1:126" hidden="1">
      <c r="A35" s="1" t="s">
        <v>13</v>
      </c>
      <c r="B35" s="1">
        <v>7302</v>
      </c>
      <c r="D35" s="1">
        <v>15560</v>
      </c>
      <c r="F35" s="1">
        <v>6004</v>
      </c>
      <c r="K35" s="1">
        <v>2</v>
      </c>
      <c r="N35" s="1">
        <v>5906</v>
      </c>
      <c r="P35" s="1">
        <v>6352</v>
      </c>
      <c r="R35" s="1">
        <v>3900</v>
      </c>
      <c r="T35" s="1">
        <v>7267</v>
      </c>
      <c r="V35" s="1">
        <v>1909</v>
      </c>
      <c r="X35" s="1">
        <v>9552</v>
      </c>
      <c r="AA35" s="1">
        <v>6368</v>
      </c>
      <c r="AC35" s="1">
        <v>9930</v>
      </c>
      <c r="AF35" s="1">
        <v>450</v>
      </c>
      <c r="AH35" s="1">
        <v>1188</v>
      </c>
      <c r="AJ35" s="1">
        <v>486</v>
      </c>
      <c r="AL35" s="1">
        <v>985</v>
      </c>
      <c r="AO35" s="1">
        <v>30009</v>
      </c>
      <c r="AQ35" s="1">
        <v>29231</v>
      </c>
      <c r="AS35" s="1">
        <v>8578</v>
      </c>
      <c r="AU35" s="1">
        <v>25300</v>
      </c>
      <c r="AW35" s="1">
        <v>25300</v>
      </c>
      <c r="AY35" s="1">
        <v>25300</v>
      </c>
      <c r="BA35" s="1">
        <v>838</v>
      </c>
      <c r="BC35" s="1">
        <v>16023</v>
      </c>
      <c r="BF35" s="1">
        <v>414</v>
      </c>
      <c r="BI35" s="1">
        <v>8586</v>
      </c>
      <c r="BK35" s="1">
        <v>2159</v>
      </c>
      <c r="BN35" s="1">
        <v>1175</v>
      </c>
      <c r="BP35" s="1">
        <v>2500</v>
      </c>
      <c r="BR35" s="1">
        <v>4222</v>
      </c>
      <c r="BU35" s="1">
        <v>8382</v>
      </c>
      <c r="BW35" s="1">
        <v>3937</v>
      </c>
      <c r="BZ35" s="1">
        <v>4026</v>
      </c>
      <c r="CC35" s="1">
        <v>1677</v>
      </c>
      <c r="CE35" s="1">
        <v>16695</v>
      </c>
      <c r="CH35" s="1">
        <v>28653</v>
      </c>
      <c r="CJ35" s="1">
        <v>28674</v>
      </c>
      <c r="CL35" s="20">
        <v>9585</v>
      </c>
      <c r="CM35" s="20"/>
      <c r="DI35" s="1">
        <v>5737</v>
      </c>
      <c r="DK35" s="20">
        <v>28674</v>
      </c>
      <c r="DL35" s="20"/>
      <c r="DM35" s="20">
        <v>28674</v>
      </c>
      <c r="DN35" s="20"/>
      <c r="DP35" s="20">
        <v>28674</v>
      </c>
      <c r="DQ35" s="20"/>
      <c r="DR35" s="20">
        <v>28674</v>
      </c>
      <c r="DS35" s="20"/>
      <c r="DU35" s="20">
        <v>28674</v>
      </c>
      <c r="DV35" s="20"/>
    </row>
    <row r="36" spans="1:126" hidden="1">
      <c r="A36" s="1" t="s">
        <v>14</v>
      </c>
      <c r="B36" s="1">
        <v>5285</v>
      </c>
      <c r="D36" s="1">
        <v>14853</v>
      </c>
      <c r="F36" s="1">
        <v>12146</v>
      </c>
      <c r="I36" s="1">
        <v>3865</v>
      </c>
      <c r="K36" s="1">
        <v>311</v>
      </c>
      <c r="N36" s="1">
        <v>8808</v>
      </c>
      <c r="P36" s="1">
        <v>6831</v>
      </c>
      <c r="R36" s="1">
        <v>5442</v>
      </c>
      <c r="T36" s="1">
        <v>9902</v>
      </c>
      <c r="V36" s="1">
        <v>7879</v>
      </c>
      <c r="X36" s="1">
        <v>10907</v>
      </c>
      <c r="AA36" s="1">
        <v>7061</v>
      </c>
      <c r="AC36" s="1">
        <v>10138</v>
      </c>
      <c r="AF36" s="1">
        <v>9412</v>
      </c>
      <c r="AH36" s="1">
        <v>10711</v>
      </c>
      <c r="AJ36" s="1">
        <v>10744</v>
      </c>
      <c r="AL36" s="1">
        <v>9640</v>
      </c>
      <c r="AO36" s="1">
        <v>63638</v>
      </c>
      <c r="AQ36" s="1">
        <v>39831</v>
      </c>
      <c r="AS36" s="1">
        <v>28618</v>
      </c>
      <c r="AU36" s="1">
        <v>74000</v>
      </c>
      <c r="AW36" s="1">
        <v>74000</v>
      </c>
      <c r="AY36" s="1">
        <v>74000</v>
      </c>
      <c r="BA36" s="1">
        <v>6900</v>
      </c>
      <c r="BC36" s="1">
        <v>16984</v>
      </c>
      <c r="BF36" s="1">
        <v>1149</v>
      </c>
      <c r="BI36" s="1">
        <v>2189</v>
      </c>
      <c r="BK36" s="1">
        <v>3253</v>
      </c>
      <c r="BN36" s="1">
        <v>2067</v>
      </c>
      <c r="BP36" s="1">
        <v>195</v>
      </c>
      <c r="BR36" s="1">
        <v>2484</v>
      </c>
      <c r="BU36" s="1">
        <v>12206</v>
      </c>
      <c r="BW36" s="1">
        <v>4831</v>
      </c>
      <c r="BZ36" s="1">
        <v>2741</v>
      </c>
      <c r="CC36" s="1">
        <v>815</v>
      </c>
      <c r="CE36" s="1">
        <v>3107</v>
      </c>
      <c r="CH36" s="1">
        <v>11133</v>
      </c>
      <c r="CJ36" s="1">
        <v>47011</v>
      </c>
      <c r="CL36" s="20">
        <v>2449</v>
      </c>
      <c r="CM36" s="20"/>
      <c r="DI36" s="1">
        <v>4667</v>
      </c>
      <c r="DK36" s="20">
        <v>47011</v>
      </c>
      <c r="DL36" s="20"/>
      <c r="DM36" s="20">
        <v>47011</v>
      </c>
      <c r="DN36" s="20"/>
      <c r="DP36" s="20">
        <v>47011</v>
      </c>
      <c r="DQ36" s="20"/>
      <c r="DR36" s="20">
        <v>47011</v>
      </c>
      <c r="DS36" s="20"/>
      <c r="DU36" s="20">
        <v>47011</v>
      </c>
      <c r="DV36" s="20"/>
    </row>
    <row r="37" spans="1:126" hidden="1">
      <c r="A37" s="1" t="s">
        <v>132</v>
      </c>
      <c r="I37" s="1">
        <v>251</v>
      </c>
      <c r="AL37" s="1">
        <v>2117</v>
      </c>
      <c r="CH37" s="1">
        <v>38386</v>
      </c>
      <c r="CL37" s="20">
        <f>21501</f>
        <v>21501</v>
      </c>
      <c r="CM37" s="20"/>
      <c r="DK37" s="20"/>
      <c r="DL37" s="20"/>
      <c r="DM37" s="20"/>
      <c r="DN37" s="20"/>
      <c r="DP37" s="20"/>
      <c r="DQ37" s="20"/>
      <c r="DR37" s="20"/>
      <c r="DS37" s="20"/>
      <c r="DU37" s="20"/>
      <c r="DV37" s="20"/>
    </row>
    <row r="38" spans="1:126" hidden="1">
      <c r="A38" s="1" t="s">
        <v>15</v>
      </c>
      <c r="D38" s="1">
        <f>3250+794+1297</f>
        <v>5341</v>
      </c>
      <c r="F38" s="1">
        <f>252+832+706</f>
        <v>1790</v>
      </c>
      <c r="I38" s="1">
        <f>346+142</f>
        <v>488</v>
      </c>
      <c r="N38" s="1">
        <f>218+2297</f>
        <v>2515</v>
      </c>
      <c r="P38" s="1">
        <v>2287</v>
      </c>
      <c r="R38" s="1">
        <f>155+129</f>
        <v>284</v>
      </c>
      <c r="T38" s="1">
        <v>3392</v>
      </c>
      <c r="V38" s="1">
        <f>40+494</f>
        <v>534</v>
      </c>
      <c r="X38" s="1">
        <f>3155+2454+1521</f>
        <v>7130</v>
      </c>
      <c r="AF38" s="1">
        <f>452</f>
        <v>452</v>
      </c>
      <c r="AL38" s="1">
        <v>1664</v>
      </c>
      <c r="AQ38" s="1">
        <f>216+512+1388+2675</f>
        <v>4791</v>
      </c>
      <c r="AS38" s="1">
        <f>771+1239+1617</f>
        <v>3627</v>
      </c>
      <c r="BA38" s="1">
        <f>77+107</f>
        <v>184</v>
      </c>
      <c r="BC38" s="1">
        <f>536+10798</f>
        <v>11334</v>
      </c>
      <c r="BI38" s="1">
        <f>235+1851</f>
        <v>2086</v>
      </c>
      <c r="BK38" s="1">
        <f>1168+167</f>
        <v>1335</v>
      </c>
      <c r="BU38" s="1">
        <f>762+230+1151</f>
        <v>2143</v>
      </c>
      <c r="BW38" s="1">
        <f>217+760</f>
        <v>977</v>
      </c>
      <c r="CC38" s="1">
        <f>13+96+105</f>
        <v>214</v>
      </c>
      <c r="CE38" s="1">
        <f>907+1255</f>
        <v>2162</v>
      </c>
      <c r="CH38" s="1">
        <f>6591+5030+729</f>
        <v>12350</v>
      </c>
      <c r="CL38" s="20">
        <f>1151+4265</f>
        <v>5416</v>
      </c>
      <c r="CM38" s="20"/>
      <c r="DK38" s="20"/>
      <c r="DL38" s="20"/>
      <c r="DM38" s="20"/>
      <c r="DN38" s="20"/>
      <c r="DP38" s="20"/>
      <c r="DQ38" s="20"/>
      <c r="DR38" s="20"/>
      <c r="DS38" s="20"/>
      <c r="DU38" s="20"/>
      <c r="DV38" s="20"/>
    </row>
    <row r="39" spans="1:126" hidden="1">
      <c r="A39" s="1" t="s">
        <v>133</v>
      </c>
      <c r="D39" s="1">
        <v>600</v>
      </c>
      <c r="F39" s="1">
        <v>464</v>
      </c>
      <c r="N39" s="1">
        <v>7935</v>
      </c>
      <c r="P39" s="1">
        <v>185</v>
      </c>
      <c r="R39" s="1">
        <v>66</v>
      </c>
      <c r="T39" s="1">
        <v>2535</v>
      </c>
      <c r="V39" s="1">
        <v>796</v>
      </c>
      <c r="X39" s="1">
        <v>3741</v>
      </c>
      <c r="AF39" s="1">
        <v>5350</v>
      </c>
      <c r="AQ39" s="1">
        <v>467</v>
      </c>
      <c r="AS39" s="1">
        <v>237</v>
      </c>
      <c r="BU39" s="1">
        <v>638</v>
      </c>
      <c r="CC39" s="1">
        <v>213</v>
      </c>
      <c r="CE39" s="1">
        <v>3306</v>
      </c>
      <c r="CH39" s="1">
        <v>8492</v>
      </c>
      <c r="CL39" s="20">
        <v>5559</v>
      </c>
      <c r="CM39" s="20"/>
      <c r="DI39" s="1">
        <v>710</v>
      </c>
      <c r="DK39" s="20"/>
      <c r="DL39" s="20"/>
      <c r="DM39" s="20"/>
      <c r="DN39" s="20"/>
      <c r="DP39" s="20"/>
      <c r="DQ39" s="20"/>
      <c r="DR39" s="20"/>
      <c r="DS39" s="20"/>
      <c r="DU39" s="20"/>
      <c r="DV39" s="20"/>
    </row>
    <row r="40" spans="1:126" hidden="1">
      <c r="A40" s="1" t="s">
        <v>103</v>
      </c>
      <c r="D40" s="6">
        <v>9190</v>
      </c>
      <c r="F40" s="1">
        <v>6021</v>
      </c>
      <c r="I40" s="1">
        <v>2748</v>
      </c>
      <c r="N40" s="1">
        <v>4000</v>
      </c>
      <c r="P40" s="1">
        <v>8257</v>
      </c>
      <c r="R40" s="1">
        <v>5534</v>
      </c>
      <c r="T40" s="1">
        <v>6687</v>
      </c>
      <c r="V40" s="1">
        <v>9217</v>
      </c>
      <c r="X40" s="1">
        <v>10728</v>
      </c>
      <c r="AF40" s="1">
        <v>7623</v>
      </c>
      <c r="AL40" s="1">
        <v>9977</v>
      </c>
      <c r="AO40" s="1">
        <v>9696</v>
      </c>
      <c r="AQ40" s="1">
        <v>22520</v>
      </c>
      <c r="AS40" s="1">
        <v>7936</v>
      </c>
      <c r="BA40" s="1">
        <v>6208</v>
      </c>
      <c r="BC40" s="1">
        <v>14647</v>
      </c>
      <c r="BI40" s="1">
        <v>3221</v>
      </c>
      <c r="BK40" s="1">
        <v>2607</v>
      </c>
      <c r="BU40" s="1">
        <v>6415</v>
      </c>
      <c r="BW40" s="1">
        <v>2285</v>
      </c>
      <c r="CC40" s="1">
        <v>3846</v>
      </c>
      <c r="CE40" s="1">
        <v>13918</v>
      </c>
      <c r="CH40" s="1">
        <v>23178</v>
      </c>
      <c r="CL40" s="20">
        <v>7664</v>
      </c>
      <c r="CM40" s="20"/>
      <c r="DI40" s="1">
        <v>10216</v>
      </c>
      <c r="DK40" s="20"/>
      <c r="DL40" s="20"/>
      <c r="DM40" s="20"/>
      <c r="DN40" s="20"/>
      <c r="DP40" s="20"/>
      <c r="DQ40" s="20"/>
      <c r="DR40" s="20"/>
      <c r="DS40" s="20"/>
      <c r="DU40" s="20"/>
      <c r="DV40" s="20"/>
    </row>
    <row r="41" spans="1:126" hidden="1">
      <c r="A41" s="1" t="s">
        <v>104</v>
      </c>
      <c r="B41" s="4">
        <v>5559</v>
      </c>
      <c r="D41" s="4">
        <v>1393</v>
      </c>
      <c r="F41" s="4"/>
      <c r="I41" s="4"/>
      <c r="K41" s="4">
        <v>101</v>
      </c>
      <c r="N41" s="4"/>
      <c r="P41" s="4">
        <v>14</v>
      </c>
      <c r="R41" s="4">
        <v>1</v>
      </c>
      <c r="T41" s="4">
        <v>759</v>
      </c>
      <c r="V41" s="4"/>
      <c r="X41" s="4"/>
      <c r="AA41" s="4">
        <v>6639</v>
      </c>
      <c r="AC41" s="4">
        <v>8721</v>
      </c>
      <c r="AF41" s="4"/>
      <c r="AH41" s="4">
        <v>13697</v>
      </c>
      <c r="AJ41" s="4">
        <v>8795</v>
      </c>
      <c r="AL41" s="4">
        <v>4882</v>
      </c>
      <c r="AO41" s="4"/>
      <c r="AQ41" s="4"/>
      <c r="AS41" s="4">
        <v>516</v>
      </c>
      <c r="AU41" s="4">
        <v>83700</v>
      </c>
      <c r="AW41" s="4">
        <v>83700</v>
      </c>
      <c r="AY41" s="4">
        <v>83700</v>
      </c>
      <c r="BA41" s="4"/>
      <c r="BC41" s="4">
        <v>2359</v>
      </c>
      <c r="BF41" s="4">
        <v>3463</v>
      </c>
      <c r="BI41" s="4"/>
      <c r="BK41" s="4"/>
      <c r="BN41" s="4">
        <v>2464</v>
      </c>
      <c r="BP41" s="4">
        <v>17935</v>
      </c>
      <c r="BR41" s="4">
        <v>1888</v>
      </c>
      <c r="BU41" s="4">
        <v>282</v>
      </c>
      <c r="BW41" s="4">
        <v>92</v>
      </c>
      <c r="BZ41" s="4">
        <v>2419</v>
      </c>
      <c r="CC41" s="4"/>
      <c r="CE41" s="4"/>
      <c r="CH41" s="4"/>
      <c r="CJ41" s="4">
        <v>37377</v>
      </c>
      <c r="CL41" s="22"/>
      <c r="CM41" s="20"/>
      <c r="CN41" s="4"/>
      <c r="CP41" s="4"/>
      <c r="CR41" s="4">
        <v>548243</v>
      </c>
      <c r="CT41" s="4">
        <v>548243</v>
      </c>
      <c r="CV41" s="4">
        <v>548243</v>
      </c>
      <c r="CX41" s="4">
        <v>548243</v>
      </c>
      <c r="CZ41" s="4">
        <v>548243</v>
      </c>
      <c r="DB41" s="4">
        <v>548243</v>
      </c>
      <c r="DD41" s="4">
        <v>548243</v>
      </c>
      <c r="DF41" s="4">
        <v>548243</v>
      </c>
      <c r="DI41" s="4">
        <v>952</v>
      </c>
      <c r="DK41" s="22">
        <v>37377</v>
      </c>
      <c r="DL41" s="20"/>
      <c r="DM41" s="22">
        <v>37377</v>
      </c>
      <c r="DN41" s="20"/>
      <c r="DP41" s="22">
        <v>37377</v>
      </c>
      <c r="DQ41" s="20"/>
      <c r="DR41" s="22">
        <v>37377</v>
      </c>
      <c r="DS41" s="20"/>
      <c r="DU41" s="22">
        <v>37377</v>
      </c>
      <c r="DV41" s="20"/>
    </row>
    <row r="42" spans="1:126" hidden="1">
      <c r="B42" s="1">
        <f>SUM(B35:B41)</f>
        <v>18146</v>
      </c>
      <c r="D42" s="1">
        <f>SUM(D35:D41)</f>
        <v>46937</v>
      </c>
      <c r="F42" s="1">
        <f>SUM(F35:F41)</f>
        <v>26425</v>
      </c>
      <c r="I42" s="1">
        <f>SUM(I35:I41)</f>
        <v>7352</v>
      </c>
      <c r="K42" s="1">
        <f>SUM(K35:K41)</f>
        <v>414</v>
      </c>
      <c r="N42" s="1">
        <f>SUM(N35:N41)</f>
        <v>29164</v>
      </c>
      <c r="P42" s="1">
        <f>SUM(P35:P41)</f>
        <v>23926</v>
      </c>
      <c r="R42" s="1">
        <f>SUM(R35:R41)</f>
        <v>15227</v>
      </c>
      <c r="T42" s="1">
        <f>SUM(T35:T41)</f>
        <v>30542</v>
      </c>
      <c r="V42" s="1">
        <f>SUM(V35:V41)</f>
        <v>20335</v>
      </c>
      <c r="X42" s="1">
        <f>SUM(X35:X41)</f>
        <v>42058</v>
      </c>
      <c r="AA42" s="1">
        <f>SUM(AA35:AA41)</f>
        <v>20068</v>
      </c>
      <c r="AC42" s="1">
        <f>SUM(AC35:AC41)</f>
        <v>28789</v>
      </c>
      <c r="AF42" s="1">
        <f>SUM(AF35:AF41)</f>
        <v>23287</v>
      </c>
      <c r="AH42" s="1">
        <f>SUM(AH35:AH41)</f>
        <v>25596</v>
      </c>
      <c r="AJ42" s="1">
        <f>SUM(AJ35:AJ41)</f>
        <v>20025</v>
      </c>
      <c r="AL42" s="1">
        <f>SUM(AL35:AL41)</f>
        <v>29265</v>
      </c>
      <c r="AO42" s="1">
        <f>SUM(AO35:AO41)</f>
        <v>103343</v>
      </c>
      <c r="AQ42" s="1">
        <f>SUM(AQ35:AQ41)</f>
        <v>96840</v>
      </c>
      <c r="AS42" s="1">
        <f>SUM(AS35:AS41)</f>
        <v>49512</v>
      </c>
      <c r="AU42" s="1">
        <f>SUM(AU35:AU41)</f>
        <v>183000</v>
      </c>
      <c r="AW42" s="1">
        <f>SUM(AW35:AW41)</f>
        <v>183000</v>
      </c>
      <c r="AY42" s="1">
        <f>SUM(AY35:AY41)</f>
        <v>183000</v>
      </c>
      <c r="BA42" s="1">
        <f>SUM(BA35:BA41)</f>
        <v>14130</v>
      </c>
      <c r="BC42" s="1">
        <f>SUM(BC35:BC41)</f>
        <v>61347</v>
      </c>
      <c r="BF42" s="1">
        <f>SUM(BF35:BF41)</f>
        <v>5026</v>
      </c>
      <c r="BI42" s="1">
        <f>SUM(BI35:BI41)</f>
        <v>16082</v>
      </c>
      <c r="BK42" s="1">
        <f>SUM(BK35:BK41)</f>
        <v>9354</v>
      </c>
      <c r="BN42" s="1">
        <f>SUM(BN35:BN41)</f>
        <v>5706</v>
      </c>
      <c r="BP42" s="1">
        <f>SUM(BP35:BP41)</f>
        <v>20630</v>
      </c>
      <c r="BR42" s="1">
        <f>SUM(BR35:BR41)</f>
        <v>8594</v>
      </c>
      <c r="BU42" s="1">
        <f>SUM(BU35:BU41)</f>
        <v>30066</v>
      </c>
      <c r="BW42" s="1">
        <f>SUM(BW35:BW41)</f>
        <v>12122</v>
      </c>
      <c r="BZ42" s="1">
        <f>SUM(BZ35:BZ41)</f>
        <v>9186</v>
      </c>
      <c r="CC42" s="1">
        <f>SUM(CC35:CC41)</f>
        <v>6765</v>
      </c>
      <c r="CE42" s="1">
        <f>SUM(CE35:CE41)</f>
        <v>39188</v>
      </c>
      <c r="CH42" s="1">
        <f>SUM(CH35:CH41)</f>
        <v>122192</v>
      </c>
      <c r="CJ42" s="1">
        <f>SUM(CJ35:CJ41)</f>
        <v>113062</v>
      </c>
      <c r="CL42" s="1">
        <f>SUM(CL35:CL41)</f>
        <v>52174</v>
      </c>
      <c r="CM42" s="20"/>
      <c r="CN42" s="1">
        <f>701076+167143+70686+67833+93418</f>
        <v>1100156</v>
      </c>
      <c r="CP42" s="1">
        <f>1268491+190036+107199+58540+56052</f>
        <v>1680318</v>
      </c>
      <c r="CR42" s="1">
        <f>SUM(CR35:CR41)</f>
        <v>548243</v>
      </c>
      <c r="CT42" s="1">
        <f>SUM(CT35:CT41)</f>
        <v>548243</v>
      </c>
      <c r="CV42" s="1">
        <f>SUM(CV35:CV41)</f>
        <v>548243</v>
      </c>
      <c r="CX42" s="1">
        <f>SUM(CX35:CX41)</f>
        <v>548243</v>
      </c>
      <c r="CZ42" s="1">
        <f>SUM(CZ35:CZ41)</f>
        <v>548243</v>
      </c>
      <c r="DB42" s="1">
        <f>SUM(DB35:DB41)</f>
        <v>548243</v>
      </c>
      <c r="DD42" s="1">
        <f>SUM(DD35:DD41)</f>
        <v>548243</v>
      </c>
      <c r="DF42" s="1">
        <f>SUM(DF35:DF41)</f>
        <v>548243</v>
      </c>
      <c r="DI42" s="1">
        <f>SUM(DI35:DI41)</f>
        <v>22282</v>
      </c>
      <c r="DK42" s="20">
        <v>113062</v>
      </c>
      <c r="DL42" s="20"/>
      <c r="DM42" s="20">
        <v>113062</v>
      </c>
      <c r="DN42" s="20"/>
      <c r="DP42" s="20">
        <v>113062</v>
      </c>
      <c r="DQ42" s="20"/>
      <c r="DR42" s="20">
        <v>113062</v>
      </c>
      <c r="DS42" s="20"/>
      <c r="DU42" s="20">
        <v>113062</v>
      </c>
      <c r="DV42" s="20"/>
    </row>
    <row r="43" spans="1:126" hidden="1">
      <c r="A43" s="7" t="s">
        <v>20</v>
      </c>
      <c r="B43" s="8">
        <f>B42+B33</f>
        <v>31612</v>
      </c>
      <c r="D43" s="8">
        <f>D42+D33</f>
        <v>101936</v>
      </c>
      <c r="F43" s="8">
        <f>F42+F33</f>
        <v>48064</v>
      </c>
      <c r="I43" s="8">
        <f>I42+I33</f>
        <v>27094</v>
      </c>
      <c r="K43" s="8">
        <f>K42+K33</f>
        <v>2190</v>
      </c>
      <c r="N43" s="8">
        <f>N42+N33</f>
        <v>62167</v>
      </c>
      <c r="P43" s="8">
        <f>P42+P33</f>
        <v>96065</v>
      </c>
      <c r="R43" s="8">
        <f>R42+R33</f>
        <v>42086</v>
      </c>
      <c r="T43" s="8">
        <f>T42+T33</f>
        <v>126254</v>
      </c>
      <c r="V43" s="8">
        <f>V42+V33</f>
        <v>55899</v>
      </c>
      <c r="X43" s="8">
        <f>X42+X33</f>
        <v>70337</v>
      </c>
      <c r="AA43" s="8">
        <f>AA42+AA33</f>
        <v>52765</v>
      </c>
      <c r="AC43" s="8">
        <f>AC42+AC33</f>
        <v>64327</v>
      </c>
      <c r="AF43" s="8">
        <f>AF42+AF33</f>
        <v>142698</v>
      </c>
      <c r="AH43" s="8">
        <f>AH42+AH33</f>
        <v>129773</v>
      </c>
      <c r="AJ43" s="8">
        <f>AJ42+AJ33</f>
        <v>139576</v>
      </c>
      <c r="AL43" s="8">
        <f>AL42+AL33</f>
        <v>118862</v>
      </c>
      <c r="AO43" s="8">
        <f>AO42+AO33</f>
        <v>357512</v>
      </c>
      <c r="AQ43" s="8">
        <f>AQ42+AQ33</f>
        <v>305690</v>
      </c>
      <c r="AS43" s="8">
        <f>AS42+AS33</f>
        <v>140192</v>
      </c>
      <c r="AU43" s="8">
        <f>AU42+AU33</f>
        <v>784400</v>
      </c>
      <c r="AW43" s="8">
        <f>AW42+AW33</f>
        <v>784400</v>
      </c>
      <c r="AY43" s="8">
        <f>AY42+AY33</f>
        <v>784400</v>
      </c>
      <c r="BA43" s="8">
        <f>BA42+BA33</f>
        <v>65974</v>
      </c>
      <c r="BC43" s="8">
        <f>BC42+BC33</f>
        <v>173491</v>
      </c>
      <c r="BF43" s="8">
        <f>BF42+BF33</f>
        <v>19837</v>
      </c>
      <c r="BI43" s="8">
        <f>BI42+BI33</f>
        <v>55674</v>
      </c>
      <c r="BK43" s="8">
        <f>BK42+BK33</f>
        <v>31298</v>
      </c>
      <c r="BN43" s="8">
        <f>BN42+BN33</f>
        <v>56294</v>
      </c>
      <c r="BP43" s="8">
        <f>BP42+BP33</f>
        <v>122621</v>
      </c>
      <c r="BR43" s="8">
        <f>BR42+BR33</f>
        <v>25077</v>
      </c>
      <c r="BU43" s="8">
        <f>BU42+BU33</f>
        <v>120442</v>
      </c>
      <c r="BW43" s="8">
        <f>BW42+BW33</f>
        <v>45513</v>
      </c>
      <c r="BZ43" s="8">
        <f>BZ42+BZ33</f>
        <v>27327</v>
      </c>
      <c r="CC43" s="8">
        <f>CC42+CC33</f>
        <v>13756</v>
      </c>
      <c r="CE43" s="8">
        <f>CE42+CE33</f>
        <v>65676</v>
      </c>
      <c r="CH43" s="8">
        <f>CH42+CH33</f>
        <v>324333</v>
      </c>
      <c r="CJ43" s="8">
        <f>CJ42+CJ33</f>
        <v>303644</v>
      </c>
      <c r="CL43" s="8">
        <f>CL42+CL33</f>
        <v>138368</v>
      </c>
      <c r="CM43" s="20"/>
      <c r="CN43" s="8">
        <f>CN42+CN33</f>
        <v>1800140</v>
      </c>
      <c r="CP43" s="8">
        <f>CP42+CP33</f>
        <v>2671318</v>
      </c>
      <c r="CR43" s="8">
        <f>CR42+CR33</f>
        <v>1269628</v>
      </c>
      <c r="CT43" s="8">
        <f>CT42+CT33</f>
        <v>1269628</v>
      </c>
      <c r="CV43" s="8">
        <f>CV42+CV33</f>
        <v>1269628</v>
      </c>
      <c r="CX43" s="8">
        <f>CX42+CX33</f>
        <v>1269628</v>
      </c>
      <c r="CZ43" s="8">
        <f>CZ42+CZ33</f>
        <v>1269628</v>
      </c>
      <c r="DB43" s="8">
        <f>DB42+DB33</f>
        <v>1269628</v>
      </c>
      <c r="DD43" s="8">
        <f>DD42+DD33</f>
        <v>1269628</v>
      </c>
      <c r="DF43" s="8">
        <f>DF42+DF33</f>
        <v>1269628</v>
      </c>
      <c r="DI43" s="8">
        <f>DI42+DI33</f>
        <v>111025</v>
      </c>
      <c r="DK43" s="25">
        <v>303644</v>
      </c>
      <c r="DL43" s="20"/>
      <c r="DM43" s="25">
        <v>303644</v>
      </c>
      <c r="DN43" s="20"/>
      <c r="DP43" s="25">
        <v>303644</v>
      </c>
      <c r="DQ43" s="20"/>
      <c r="DR43" s="25">
        <v>303644</v>
      </c>
      <c r="DS43" s="20"/>
      <c r="DU43" s="25">
        <v>303644</v>
      </c>
      <c r="DV43" s="20"/>
    </row>
    <row r="44" spans="1:126" hidden="1">
      <c r="CL44" s="20"/>
      <c r="CM44" s="20"/>
      <c r="DK44" s="20"/>
      <c r="DL44" s="20"/>
      <c r="DM44" s="20"/>
      <c r="DN44" s="20"/>
      <c r="DP44" s="20"/>
      <c r="DQ44" s="20"/>
      <c r="DR44" s="20"/>
      <c r="DS44" s="20"/>
      <c r="DU44" s="20"/>
      <c r="DV44" s="20"/>
    </row>
    <row r="45" spans="1:126" hidden="1">
      <c r="A45" s="7" t="s">
        <v>27</v>
      </c>
      <c r="CL45" s="20"/>
      <c r="CM45" s="20"/>
      <c r="DK45" s="20"/>
      <c r="DL45" s="20"/>
      <c r="DM45" s="20"/>
      <c r="DN45" s="20"/>
      <c r="DP45" s="20"/>
      <c r="DQ45" s="20"/>
      <c r="DR45" s="20"/>
      <c r="DS45" s="20"/>
      <c r="DU45" s="20"/>
      <c r="DV45" s="20"/>
    </row>
    <row r="46" spans="1:126" hidden="1">
      <c r="A46" s="1" t="s">
        <v>17</v>
      </c>
      <c r="B46" s="1">
        <v>325</v>
      </c>
      <c r="D46" s="1">
        <v>1944</v>
      </c>
      <c r="F46" s="1">
        <v>453</v>
      </c>
      <c r="K46" s="1">
        <v>21</v>
      </c>
      <c r="N46" s="1">
        <v>2220</v>
      </c>
      <c r="P46" s="1">
        <v>4176</v>
      </c>
      <c r="R46" s="1">
        <v>2789</v>
      </c>
      <c r="T46" s="1">
        <v>6776</v>
      </c>
      <c r="V46" s="1">
        <v>1788</v>
      </c>
      <c r="X46" s="1">
        <v>215</v>
      </c>
      <c r="AA46" s="1">
        <v>3684</v>
      </c>
      <c r="AC46" s="1">
        <v>4242</v>
      </c>
      <c r="AF46" s="1">
        <v>12289</v>
      </c>
      <c r="AH46" s="1">
        <v>10245</v>
      </c>
      <c r="AJ46" s="1">
        <v>6258</v>
      </c>
      <c r="AL46" s="1">
        <v>9527</v>
      </c>
      <c r="AO46" s="46">
        <v>8344</v>
      </c>
      <c r="AQ46" s="1">
        <v>7381</v>
      </c>
      <c r="AS46" s="1">
        <f>2032+3015</f>
        <v>5047</v>
      </c>
      <c r="AU46" s="1">
        <v>18400</v>
      </c>
      <c r="AW46" s="1">
        <v>18400</v>
      </c>
      <c r="AY46" s="1">
        <v>18400</v>
      </c>
      <c r="BA46" s="1">
        <v>475</v>
      </c>
      <c r="BC46" s="1">
        <v>8116</v>
      </c>
      <c r="BF46" s="1">
        <v>670</v>
      </c>
      <c r="BI46" s="1">
        <v>4688</v>
      </c>
      <c r="BK46" s="1">
        <v>299</v>
      </c>
      <c r="BN46" s="1">
        <v>2469</v>
      </c>
      <c r="BP46" s="1">
        <v>5390</v>
      </c>
      <c r="BR46" s="1">
        <v>1980</v>
      </c>
      <c r="BU46" s="1">
        <v>11380</v>
      </c>
      <c r="BW46" s="1">
        <v>4010</v>
      </c>
      <c r="BZ46" s="1">
        <v>1636</v>
      </c>
      <c r="CC46" s="1">
        <v>3</v>
      </c>
      <c r="CH46" s="1">
        <v>59987</v>
      </c>
      <c r="CJ46" s="1">
        <v>54060</v>
      </c>
      <c r="CL46" s="20">
        <v>30854</v>
      </c>
      <c r="CM46" s="20"/>
      <c r="DI46" s="1">
        <v>3926</v>
      </c>
      <c r="DK46" s="20">
        <v>54060</v>
      </c>
      <c r="DL46" s="20"/>
      <c r="DM46" s="20">
        <v>54060</v>
      </c>
      <c r="DN46" s="20"/>
      <c r="DP46" s="20">
        <v>54060</v>
      </c>
      <c r="DQ46" s="20"/>
      <c r="DR46" s="20">
        <v>54060</v>
      </c>
      <c r="DS46" s="20"/>
      <c r="DU46" s="20">
        <v>54060</v>
      </c>
      <c r="DV46" s="20"/>
    </row>
    <row r="47" spans="1:126" hidden="1">
      <c r="A47" s="1" t="s">
        <v>16</v>
      </c>
      <c r="B47" s="1">
        <v>4041</v>
      </c>
      <c r="D47" s="1">
        <v>7599</v>
      </c>
      <c r="F47" s="1">
        <v>5112</v>
      </c>
      <c r="I47" s="1">
        <v>850</v>
      </c>
      <c r="K47" s="1">
        <v>287</v>
      </c>
      <c r="N47" s="1">
        <v>2162</v>
      </c>
      <c r="P47" s="1">
        <v>3003</v>
      </c>
      <c r="R47" s="1">
        <v>8317</v>
      </c>
      <c r="T47" s="1">
        <v>6148</v>
      </c>
      <c r="V47" s="1">
        <v>10362</v>
      </c>
      <c r="X47" s="1">
        <v>4092</v>
      </c>
      <c r="AA47" s="1">
        <v>3779</v>
      </c>
      <c r="AC47" s="1">
        <v>4696</v>
      </c>
      <c r="AF47" s="1">
        <v>16198</v>
      </c>
      <c r="AH47" s="1">
        <v>17089</v>
      </c>
      <c r="AJ47" s="1">
        <v>15236</v>
      </c>
      <c r="AL47" s="1">
        <v>15221</v>
      </c>
      <c r="AO47" s="46">
        <v>70112</v>
      </c>
      <c r="AQ47" s="1">
        <v>47159</v>
      </c>
      <c r="AS47" s="1">
        <v>23666</v>
      </c>
      <c r="AU47" s="1">
        <v>81800</v>
      </c>
      <c r="AW47" s="1">
        <v>81800</v>
      </c>
      <c r="AY47" s="1">
        <v>81800</v>
      </c>
      <c r="BA47" s="1">
        <v>5631</v>
      </c>
      <c r="BC47" s="1">
        <v>21958</v>
      </c>
      <c r="BF47" s="1">
        <v>6013</v>
      </c>
      <c r="BI47" s="1">
        <v>3308</v>
      </c>
      <c r="BK47" s="1">
        <v>3346</v>
      </c>
      <c r="BN47" s="1">
        <v>4004</v>
      </c>
      <c r="BP47" s="1">
        <v>14295</v>
      </c>
      <c r="BR47" s="1">
        <v>3230</v>
      </c>
      <c r="BU47" s="1">
        <v>16072</v>
      </c>
      <c r="BW47" s="1">
        <v>11735</v>
      </c>
      <c r="BZ47" s="1">
        <v>5827</v>
      </c>
      <c r="CC47" s="1">
        <v>3332</v>
      </c>
      <c r="CE47" s="1">
        <v>4870</v>
      </c>
      <c r="CH47" s="1">
        <v>18024</v>
      </c>
      <c r="CJ47" s="1">
        <v>17268</v>
      </c>
      <c r="CL47" s="20">
        <v>7475</v>
      </c>
      <c r="CM47" s="20"/>
      <c r="DI47" s="1">
        <v>8400</v>
      </c>
      <c r="DK47" s="20">
        <v>17268</v>
      </c>
      <c r="DL47" s="20"/>
      <c r="DM47" s="20">
        <v>17268</v>
      </c>
      <c r="DN47" s="20"/>
      <c r="DP47" s="20">
        <v>17268</v>
      </c>
      <c r="DQ47" s="20"/>
      <c r="DR47" s="20">
        <v>17268</v>
      </c>
      <c r="DS47" s="20"/>
      <c r="DU47" s="20">
        <v>17268</v>
      </c>
      <c r="DV47" s="20"/>
    </row>
    <row r="48" spans="1:126" hidden="1">
      <c r="A48" s="1" t="s">
        <v>136</v>
      </c>
      <c r="D48" s="1">
        <v>1515</v>
      </c>
      <c r="F48" s="1">
        <f>1714+1726</f>
        <v>3440</v>
      </c>
      <c r="I48" s="1">
        <v>748</v>
      </c>
      <c r="R48" s="1">
        <v>127</v>
      </c>
      <c r="V48" s="1">
        <v>2</v>
      </c>
      <c r="AO48" s="46"/>
      <c r="AQ48" s="1">
        <f>2322</f>
        <v>2322</v>
      </c>
      <c r="BC48" s="1">
        <v>276</v>
      </c>
      <c r="CC48" s="1">
        <v>38</v>
      </c>
      <c r="CH48" s="1">
        <f>3638+4526</f>
        <v>8164</v>
      </c>
      <c r="CL48" s="20"/>
      <c r="CM48" s="20"/>
      <c r="DK48" s="20"/>
      <c r="DL48" s="20"/>
      <c r="DM48" s="20"/>
      <c r="DN48" s="20"/>
      <c r="DP48" s="20"/>
      <c r="DQ48" s="20"/>
      <c r="DR48" s="20"/>
      <c r="DS48" s="20"/>
      <c r="DU48" s="20"/>
      <c r="DV48" s="20"/>
    </row>
    <row r="49" spans="1:126" hidden="1">
      <c r="A49" s="1" t="s">
        <v>135</v>
      </c>
      <c r="D49" s="1">
        <v>2151</v>
      </c>
      <c r="I49" s="1">
        <v>433</v>
      </c>
      <c r="N49" s="1">
        <v>1805</v>
      </c>
      <c r="R49" s="1">
        <v>1452</v>
      </c>
      <c r="T49" s="1">
        <v>2459</v>
      </c>
      <c r="V49" s="1">
        <v>3076</v>
      </c>
      <c r="X49" s="1">
        <v>2222</v>
      </c>
      <c r="AF49" s="1">
        <v>1919</v>
      </c>
      <c r="AL49" s="1">
        <v>2203</v>
      </c>
      <c r="AO49" s="46">
        <v>11173</v>
      </c>
      <c r="AQ49" s="1">
        <v>1945</v>
      </c>
      <c r="AS49" s="1">
        <v>1633</v>
      </c>
      <c r="BA49" s="1">
        <v>1831</v>
      </c>
      <c r="BI49" s="1">
        <v>382</v>
      </c>
      <c r="BK49" s="1">
        <v>202</v>
      </c>
      <c r="BU49" s="1">
        <v>1276</v>
      </c>
      <c r="BW49" s="1">
        <v>1254</v>
      </c>
      <c r="CC49" s="1">
        <v>89</v>
      </c>
      <c r="CE49" s="1">
        <v>797</v>
      </c>
      <c r="CH49" s="1">
        <f>218+2869</f>
        <v>3087</v>
      </c>
      <c r="CL49" s="20">
        <v>1237</v>
      </c>
      <c r="CM49" s="20"/>
      <c r="DI49" s="1">
        <v>1126</v>
      </c>
      <c r="DK49" s="20"/>
      <c r="DL49" s="20"/>
      <c r="DM49" s="20"/>
      <c r="DN49" s="20"/>
      <c r="DP49" s="20"/>
      <c r="DQ49" s="20"/>
      <c r="DR49" s="20"/>
      <c r="DS49" s="20"/>
      <c r="DU49" s="20"/>
      <c r="DV49" s="20"/>
    </row>
    <row r="50" spans="1:126" hidden="1">
      <c r="A50" s="1" t="s">
        <v>21</v>
      </c>
      <c r="B50" s="1">
        <v>1309</v>
      </c>
      <c r="D50" s="1">
        <v>4485</v>
      </c>
      <c r="F50" s="1">
        <f>1362+1807</f>
        <v>3169</v>
      </c>
      <c r="I50" s="1">
        <v>645</v>
      </c>
      <c r="N50" s="1">
        <v>2148</v>
      </c>
      <c r="R50" s="1">
        <v>992</v>
      </c>
      <c r="V50" s="1">
        <v>823</v>
      </c>
      <c r="X50" s="1">
        <v>8310</v>
      </c>
      <c r="AA50" s="1">
        <v>4218</v>
      </c>
      <c r="AC50" s="1">
        <v>2687</v>
      </c>
      <c r="AF50" s="1">
        <v>818</v>
      </c>
      <c r="AH50" s="1">
        <v>1651</v>
      </c>
      <c r="AJ50" s="1">
        <v>633</v>
      </c>
      <c r="AL50" s="1">
        <v>1271</v>
      </c>
      <c r="AO50" s="46">
        <f>382+3247</f>
        <v>3629</v>
      </c>
      <c r="AQ50" s="1">
        <v>5045</v>
      </c>
      <c r="BF50" s="1">
        <v>803</v>
      </c>
      <c r="BI50" s="1">
        <v>322</v>
      </c>
      <c r="BK50" s="1">
        <v>557</v>
      </c>
      <c r="BN50" s="1">
        <v>558</v>
      </c>
      <c r="BP50" s="1">
        <v>180</v>
      </c>
      <c r="BR50" s="1">
        <v>109</v>
      </c>
      <c r="BU50" s="1">
        <v>523</v>
      </c>
      <c r="BW50" s="1">
        <v>379</v>
      </c>
      <c r="BZ50" s="1">
        <v>210</v>
      </c>
      <c r="CH50" s="1">
        <v>18360</v>
      </c>
      <c r="CJ50" s="1">
        <v>16689</v>
      </c>
      <c r="CL50" s="20">
        <v>3411</v>
      </c>
      <c r="CM50" s="20"/>
      <c r="DI50" s="1">
        <v>1738</v>
      </c>
      <c r="DK50" s="20">
        <v>16689</v>
      </c>
      <c r="DL50" s="20"/>
      <c r="DM50" s="20">
        <v>16689</v>
      </c>
      <c r="DN50" s="20"/>
      <c r="DP50" s="20">
        <v>16689</v>
      </c>
      <c r="DQ50" s="20"/>
      <c r="DR50" s="20">
        <v>16689</v>
      </c>
      <c r="DS50" s="20"/>
      <c r="DU50" s="20">
        <v>16689</v>
      </c>
      <c r="DV50" s="20"/>
    </row>
    <row r="51" spans="1:126" hidden="1">
      <c r="A51" s="1" t="s">
        <v>18</v>
      </c>
      <c r="D51" s="1">
        <v>19701</v>
      </c>
      <c r="F51" s="1">
        <f>4242+259</f>
        <v>4501</v>
      </c>
      <c r="I51" s="1">
        <f>2263+1408</f>
        <v>3671</v>
      </c>
      <c r="N51" s="1">
        <v>7425</v>
      </c>
      <c r="P51" s="1">
        <f>6754+24</f>
        <v>6778</v>
      </c>
      <c r="T51" s="1">
        <v>10935</v>
      </c>
      <c r="X51" s="1">
        <v>9386</v>
      </c>
      <c r="AO51" s="44"/>
      <c r="AQ51" s="1">
        <v>8960</v>
      </c>
      <c r="AS51" s="1">
        <f>2188+1418</f>
        <v>3606</v>
      </c>
      <c r="BA51" s="1">
        <v>297</v>
      </c>
      <c r="BC51" s="1">
        <f>13821</f>
        <v>13821</v>
      </c>
      <c r="BI51" s="1">
        <v>3000</v>
      </c>
      <c r="BK51" s="1">
        <v>2190</v>
      </c>
      <c r="BU51" s="1">
        <f>3185+381</f>
        <v>3566</v>
      </c>
      <c r="CE51" s="1">
        <f>3360+8370</f>
        <v>11730</v>
      </c>
      <c r="CH51" s="1">
        <v>11004</v>
      </c>
      <c r="CL51" s="20">
        <f>7066</f>
        <v>7066</v>
      </c>
      <c r="CM51" s="20"/>
      <c r="DK51" s="20"/>
      <c r="DL51" s="20"/>
      <c r="DM51" s="20"/>
      <c r="DN51" s="20"/>
      <c r="DP51" s="20"/>
      <c r="DQ51" s="20"/>
      <c r="DR51" s="20"/>
      <c r="DS51" s="20"/>
      <c r="DU51" s="20"/>
      <c r="DV51" s="20"/>
    </row>
    <row r="52" spans="1:126" hidden="1">
      <c r="A52" s="1" t="s">
        <v>105</v>
      </c>
      <c r="B52" s="4">
        <v>3688</v>
      </c>
      <c r="D52" s="4">
        <v>473</v>
      </c>
      <c r="F52" s="4"/>
      <c r="I52" s="4"/>
      <c r="K52" s="4">
        <v>481</v>
      </c>
      <c r="N52" s="4">
        <v>0</v>
      </c>
      <c r="P52" s="4"/>
      <c r="R52" s="4"/>
      <c r="T52" s="4">
        <v>50</v>
      </c>
      <c r="V52" s="4"/>
      <c r="X52" s="4"/>
      <c r="AA52" s="4">
        <v>1709</v>
      </c>
      <c r="AC52" s="4">
        <v>5707</v>
      </c>
      <c r="AF52" s="4"/>
      <c r="AH52" s="4">
        <v>2526</v>
      </c>
      <c r="AJ52" s="4">
        <v>1898</v>
      </c>
      <c r="AL52" s="4">
        <v>922</v>
      </c>
      <c r="AO52" s="45"/>
      <c r="AQ52" s="4"/>
      <c r="AS52" s="4">
        <v>361</v>
      </c>
      <c r="AU52" s="4">
        <v>63300</v>
      </c>
      <c r="AW52" s="4">
        <v>63300</v>
      </c>
      <c r="AY52" s="4">
        <v>63300</v>
      </c>
      <c r="BA52" s="4"/>
      <c r="BC52" s="4">
        <v>626</v>
      </c>
      <c r="BF52" s="4">
        <v>78</v>
      </c>
      <c r="BI52" s="4"/>
      <c r="BK52" s="4"/>
      <c r="BN52" s="4">
        <v>1495</v>
      </c>
      <c r="BP52" s="4">
        <v>543</v>
      </c>
      <c r="BR52" s="4">
        <v>225</v>
      </c>
      <c r="BU52" s="4">
        <v>100</v>
      </c>
      <c r="BW52" s="4">
        <v>4</v>
      </c>
      <c r="BZ52" s="4">
        <v>469</v>
      </c>
      <c r="CC52" s="4"/>
      <c r="CE52" s="4"/>
      <c r="CH52" s="4"/>
      <c r="CJ52" s="4">
        <v>17496</v>
      </c>
      <c r="CL52" s="22"/>
      <c r="CM52" s="20"/>
      <c r="CN52" s="4"/>
      <c r="CP52" s="4"/>
      <c r="CR52" s="4">
        <v>872170</v>
      </c>
      <c r="CT52" s="4">
        <v>872170</v>
      </c>
      <c r="CV52" s="4">
        <v>872170</v>
      </c>
      <c r="CX52" s="4">
        <v>872170</v>
      </c>
      <c r="CZ52" s="4">
        <v>872170</v>
      </c>
      <c r="DB52" s="4">
        <v>872170</v>
      </c>
      <c r="DD52" s="4">
        <v>872170</v>
      </c>
      <c r="DF52" s="4">
        <v>872170</v>
      </c>
      <c r="DI52" s="4">
        <v>181</v>
      </c>
      <c r="DK52" s="22">
        <v>17496</v>
      </c>
      <c r="DL52" s="20"/>
      <c r="DM52" s="22">
        <v>17496</v>
      </c>
      <c r="DN52" s="20"/>
      <c r="DP52" s="22">
        <v>17496</v>
      </c>
      <c r="DQ52" s="20"/>
      <c r="DR52" s="22">
        <v>17496</v>
      </c>
      <c r="DS52" s="20"/>
      <c r="DU52" s="22">
        <v>17496</v>
      </c>
      <c r="DV52" s="20"/>
    </row>
    <row r="53" spans="1:126" hidden="1">
      <c r="B53" s="1">
        <f>SUM(B47:B52)</f>
        <v>9038</v>
      </c>
      <c r="D53" s="1">
        <f>SUM(D46:D52)</f>
        <v>37868</v>
      </c>
      <c r="F53" s="1">
        <f>SUM(F46:F52)</f>
        <v>16675</v>
      </c>
      <c r="I53" s="1">
        <f>SUM(I46:I52)</f>
        <v>6347</v>
      </c>
      <c r="K53" s="1">
        <f>SUM(K47:K52)</f>
        <v>768</v>
      </c>
      <c r="N53" s="1">
        <f>SUM(N46:N52)</f>
        <v>15760</v>
      </c>
      <c r="P53" s="1">
        <f>SUM(P46:P52)</f>
        <v>13957</v>
      </c>
      <c r="R53" s="1">
        <f>SUM(R46:R52)</f>
        <v>13677</v>
      </c>
      <c r="T53" s="1">
        <f>SUM(T46:T52)</f>
        <v>26368</v>
      </c>
      <c r="V53" s="1">
        <f>SUM(V46:V52)</f>
        <v>16051</v>
      </c>
      <c r="X53" s="1">
        <f>SUM(X46:X52)</f>
        <v>24225</v>
      </c>
      <c r="AA53" s="1">
        <f>SUM(AA46:AA52)</f>
        <v>13390</v>
      </c>
      <c r="AC53" s="1">
        <f>SUM(AC46:AC52)</f>
        <v>17332</v>
      </c>
      <c r="AF53" s="1">
        <f>SUM(AF46:AF52)</f>
        <v>31224</v>
      </c>
      <c r="AH53" s="1">
        <f>SUM(AH47:AH52)</f>
        <v>21266</v>
      </c>
      <c r="AJ53" s="1">
        <f>SUM(AJ46:AJ52)</f>
        <v>24025</v>
      </c>
      <c r="AL53" s="1">
        <f>SUM(AL46:AL52)</f>
        <v>29144</v>
      </c>
      <c r="AO53" s="1">
        <f>SUM(AO46:AO52)</f>
        <v>93258</v>
      </c>
      <c r="AQ53" s="1">
        <f>SUM(AQ46:AQ52)</f>
        <v>72812</v>
      </c>
      <c r="AS53" s="1">
        <f>SUM(AS46:AS52)</f>
        <v>34313</v>
      </c>
      <c r="AU53" s="1">
        <f>SUM(AU46:AU52)</f>
        <v>163500</v>
      </c>
      <c r="AW53" s="1">
        <f>SUM(AW46:AW52)</f>
        <v>163500</v>
      </c>
      <c r="AY53" s="1">
        <f>SUM(AY46:AY52)</f>
        <v>163500</v>
      </c>
      <c r="BA53" s="1">
        <f>SUM(BA46:BA52)</f>
        <v>8234</v>
      </c>
      <c r="BC53" s="1">
        <f>SUM(BC46:BC52)</f>
        <v>44797</v>
      </c>
      <c r="BF53" s="1">
        <f>SUM(BF47:BF52)</f>
        <v>6894</v>
      </c>
      <c r="BI53" s="1">
        <f>SUM(BI46:BI52)</f>
        <v>11700</v>
      </c>
      <c r="BK53" s="1">
        <f>SUM(BK46:BK52)</f>
        <v>6594</v>
      </c>
      <c r="BN53" s="1">
        <f>SUM(BN46:BN52)</f>
        <v>8526</v>
      </c>
      <c r="BP53" s="1">
        <f>SUM(BP46:BP52)</f>
        <v>20408</v>
      </c>
      <c r="BR53" s="1">
        <f>SUM(BR46:BR52)</f>
        <v>5544</v>
      </c>
      <c r="BU53" s="1">
        <f>SUM(BU46:BU52)</f>
        <v>32917</v>
      </c>
      <c r="BW53" s="1">
        <f>SUM(BW46:BW52)</f>
        <v>17382</v>
      </c>
      <c r="BZ53" s="1">
        <f>SUM(BZ46:BZ52)</f>
        <v>8142</v>
      </c>
      <c r="CC53" s="1">
        <f>SUM(CC46:CC52)</f>
        <v>3462</v>
      </c>
      <c r="CE53" s="1">
        <f>SUM(CE46:CE52)</f>
        <v>17397</v>
      </c>
      <c r="CH53" s="1">
        <f>SUM(CH46:CH52)</f>
        <v>118626</v>
      </c>
      <c r="CJ53" s="1">
        <f>SUM(CJ46:CJ52)</f>
        <v>105513</v>
      </c>
      <c r="CL53" s="1">
        <f>SUM(CL46:CL52)</f>
        <v>50043</v>
      </c>
      <c r="CM53" s="20"/>
      <c r="CN53" s="1">
        <f>579895+372984+142986+99626+92197</f>
        <v>1287688</v>
      </c>
      <c r="CP53" s="1">
        <f>1956240+108050+60575+32333+33426</f>
        <v>2190624</v>
      </c>
      <c r="CR53" s="1">
        <f>SUM(CR46:CR52)</f>
        <v>872170</v>
      </c>
      <c r="CT53" s="1">
        <f>SUM(CT46:CT52)</f>
        <v>872170</v>
      </c>
      <c r="CV53" s="1">
        <f>SUM(CV46:CV52)</f>
        <v>872170</v>
      </c>
      <c r="CX53" s="1">
        <f>SUM(CX46:CX52)</f>
        <v>872170</v>
      </c>
      <c r="CZ53" s="1">
        <f>SUM(CZ46:CZ52)</f>
        <v>872170</v>
      </c>
      <c r="DB53" s="1">
        <f>SUM(DB46:DB52)</f>
        <v>872170</v>
      </c>
      <c r="DD53" s="1">
        <f>SUM(DD46:DD52)</f>
        <v>872170</v>
      </c>
      <c r="DF53" s="1">
        <f>SUM(DF46:DF52)</f>
        <v>872170</v>
      </c>
      <c r="DI53" s="1">
        <f>SUM(DI46:DI52)</f>
        <v>15371</v>
      </c>
      <c r="DK53" s="20">
        <v>105513</v>
      </c>
      <c r="DL53" s="20"/>
      <c r="DM53" s="20">
        <v>105513</v>
      </c>
      <c r="DN53" s="20"/>
      <c r="DP53" s="20">
        <v>105513</v>
      </c>
      <c r="DQ53" s="20"/>
      <c r="DR53" s="20">
        <v>105513</v>
      </c>
      <c r="DS53" s="20"/>
      <c r="DU53" s="20">
        <v>105513</v>
      </c>
      <c r="DV53" s="20"/>
    </row>
    <row r="54" spans="1:126" hidden="1">
      <c r="A54" s="7" t="s">
        <v>28</v>
      </c>
      <c r="CL54" s="20"/>
      <c r="CM54" s="20"/>
      <c r="DK54" s="20"/>
      <c r="DL54" s="20"/>
      <c r="DM54" s="20"/>
      <c r="DN54" s="20"/>
      <c r="DP54" s="20"/>
      <c r="DQ54" s="20"/>
      <c r="DR54" s="20"/>
      <c r="DS54" s="20"/>
      <c r="DU54" s="20"/>
      <c r="DV54" s="20"/>
    </row>
    <row r="55" spans="1:126" hidden="1">
      <c r="A55" s="1" t="s">
        <v>17</v>
      </c>
      <c r="B55" s="1">
        <v>4630</v>
      </c>
      <c r="D55" s="1">
        <v>18509</v>
      </c>
      <c r="F55" s="1">
        <v>7570</v>
      </c>
      <c r="I55" s="1">
        <v>3758</v>
      </c>
      <c r="K55" s="1">
        <v>440</v>
      </c>
      <c r="N55" s="1">
        <v>16423</v>
      </c>
      <c r="P55" s="1">
        <v>10414</v>
      </c>
      <c r="R55" s="1">
        <v>15456</v>
      </c>
      <c r="T55" s="1">
        <v>11242</v>
      </c>
      <c r="V55" s="1">
        <v>8588</v>
      </c>
      <c r="AA55" s="1">
        <v>7995</v>
      </c>
      <c r="AC55" s="1">
        <v>9113</v>
      </c>
      <c r="AF55" s="1">
        <v>29108</v>
      </c>
      <c r="AH55" s="1">
        <v>56608</v>
      </c>
      <c r="AJ55" s="1">
        <v>28362</v>
      </c>
      <c r="AL55" s="1">
        <v>51172</v>
      </c>
      <c r="AO55" s="1">
        <v>36218</v>
      </c>
      <c r="AQ55" s="1">
        <v>40811</v>
      </c>
      <c r="AS55" s="1">
        <v>19145</v>
      </c>
      <c r="AU55" s="1">
        <v>101000</v>
      </c>
      <c r="AW55" s="1">
        <v>101000</v>
      </c>
      <c r="AY55" s="1">
        <v>101000</v>
      </c>
      <c r="BA55" s="1">
        <v>17054</v>
      </c>
      <c r="BC55" s="1">
        <v>25069</v>
      </c>
      <c r="BF55" s="1">
        <v>4128</v>
      </c>
      <c r="BI55" s="1">
        <v>4159</v>
      </c>
      <c r="BK55" s="1">
        <v>94</v>
      </c>
      <c r="BN55" s="1">
        <v>16079</v>
      </c>
      <c r="BP55" s="1">
        <v>38951</v>
      </c>
      <c r="BR55" s="1">
        <v>8233</v>
      </c>
      <c r="BU55" s="1">
        <v>10363</v>
      </c>
      <c r="BW55" s="1">
        <v>7491</v>
      </c>
      <c r="BZ55" s="1">
        <v>9083</v>
      </c>
      <c r="CC55" s="1">
        <v>2</v>
      </c>
      <c r="CH55" s="1">
        <v>61517</v>
      </c>
      <c r="CJ55" s="1">
        <v>63603</v>
      </c>
      <c r="CL55" s="20">
        <v>39450</v>
      </c>
      <c r="CM55" s="20"/>
      <c r="CR55" s="1">
        <v>300260</v>
      </c>
      <c r="CT55" s="1">
        <v>300260</v>
      </c>
      <c r="CV55" s="1">
        <v>300260</v>
      </c>
      <c r="CX55" s="1">
        <v>300260</v>
      </c>
      <c r="CZ55" s="1">
        <v>300260</v>
      </c>
      <c r="DB55" s="1">
        <v>300260</v>
      </c>
      <c r="DD55" s="1">
        <v>300260</v>
      </c>
      <c r="DF55" s="1">
        <v>300260</v>
      </c>
      <c r="DI55" s="1">
        <v>24625</v>
      </c>
      <c r="DK55" s="20">
        <v>63603</v>
      </c>
      <c r="DL55" s="20"/>
      <c r="DM55" s="20">
        <v>63603</v>
      </c>
      <c r="DN55" s="20"/>
      <c r="DP55" s="20">
        <v>63603</v>
      </c>
      <c r="DQ55" s="20"/>
      <c r="DR55" s="20">
        <v>63603</v>
      </c>
      <c r="DS55" s="20"/>
      <c r="DU55" s="20">
        <v>63603</v>
      </c>
      <c r="DV55" s="20"/>
    </row>
    <row r="56" spans="1:126" hidden="1">
      <c r="A56" s="1" t="s">
        <v>21</v>
      </c>
      <c r="B56" s="1">
        <v>680</v>
      </c>
      <c r="D56" s="1">
        <v>3907</v>
      </c>
      <c r="I56" s="1">
        <v>277</v>
      </c>
      <c r="N56" s="1">
        <v>1097</v>
      </c>
      <c r="P56" s="1">
        <v>8735</v>
      </c>
      <c r="R56" s="1">
        <v>552</v>
      </c>
      <c r="T56" s="1">
        <v>7268</v>
      </c>
      <c r="V56" s="1">
        <v>566</v>
      </c>
      <c r="X56" s="1">
        <v>2183</v>
      </c>
      <c r="AA56" s="1">
        <v>1649</v>
      </c>
      <c r="AC56" s="1">
        <v>3024</v>
      </c>
      <c r="AF56" s="1">
        <v>907</v>
      </c>
      <c r="AH56" s="1">
        <v>7064</v>
      </c>
      <c r="AJ56" s="1">
        <v>479</v>
      </c>
      <c r="AL56" s="1">
        <v>6300</v>
      </c>
      <c r="AO56" s="1">
        <v>19698</v>
      </c>
      <c r="AQ56" s="1">
        <v>26915</v>
      </c>
      <c r="AS56" s="1">
        <v>13567</v>
      </c>
      <c r="AU56" s="1">
        <v>95500</v>
      </c>
      <c r="AW56" s="1">
        <v>95500</v>
      </c>
      <c r="AY56" s="1">
        <v>95500</v>
      </c>
      <c r="BA56" s="1">
        <v>4115</v>
      </c>
      <c r="BC56" s="1">
        <v>12701</v>
      </c>
      <c r="BF56" s="1">
        <v>1250</v>
      </c>
      <c r="BI56" s="1">
        <v>1755</v>
      </c>
      <c r="BK56" s="1">
        <v>183</v>
      </c>
      <c r="BN56" s="1">
        <v>538</v>
      </c>
      <c r="BP56" s="1">
        <v>641</v>
      </c>
      <c r="BR56" s="1">
        <v>256</v>
      </c>
      <c r="BU56" s="1">
        <v>2714</v>
      </c>
      <c r="BW56" s="1">
        <v>892</v>
      </c>
      <c r="BZ56" s="1">
        <v>419</v>
      </c>
      <c r="CC56" s="1">
        <v>148</v>
      </c>
      <c r="CH56" s="1">
        <f>3674+13981</f>
        <v>17655</v>
      </c>
      <c r="CJ56" s="1">
        <v>14373</v>
      </c>
      <c r="CL56" s="20">
        <v>3772</v>
      </c>
      <c r="CM56" s="20"/>
      <c r="CR56" s="1">
        <v>5795</v>
      </c>
      <c r="CT56" s="1">
        <v>5795</v>
      </c>
      <c r="CV56" s="1">
        <v>5795</v>
      </c>
      <c r="CX56" s="1">
        <v>5795</v>
      </c>
      <c r="CZ56" s="1">
        <v>5795</v>
      </c>
      <c r="DB56" s="1">
        <v>5795</v>
      </c>
      <c r="DD56" s="1">
        <v>5795</v>
      </c>
      <c r="DF56" s="1">
        <v>5795</v>
      </c>
      <c r="DI56" s="1">
        <v>12343</v>
      </c>
      <c r="DK56" s="20">
        <v>14373</v>
      </c>
      <c r="DL56" s="20"/>
      <c r="DM56" s="20">
        <v>14373</v>
      </c>
      <c r="DN56" s="20"/>
      <c r="DP56" s="20">
        <v>14373</v>
      </c>
      <c r="DQ56" s="20"/>
      <c r="DR56" s="20">
        <v>14373</v>
      </c>
      <c r="DS56" s="20"/>
      <c r="DU56" s="20">
        <v>14373</v>
      </c>
      <c r="DV56" s="20"/>
    </row>
    <row r="57" spans="1:126" hidden="1">
      <c r="A57" s="1" t="s">
        <v>134</v>
      </c>
      <c r="CH57" s="1">
        <v>2305</v>
      </c>
      <c r="CL57" s="20"/>
      <c r="CM57" s="20"/>
      <c r="DK57" s="20"/>
      <c r="DL57" s="20"/>
      <c r="DM57" s="20"/>
      <c r="DN57" s="20"/>
      <c r="DP57" s="20"/>
      <c r="DQ57" s="20"/>
      <c r="DR57" s="20"/>
      <c r="DS57" s="20"/>
      <c r="DU57" s="20"/>
      <c r="DV57" s="20"/>
    </row>
    <row r="58" spans="1:126" hidden="1">
      <c r="A58" s="1" t="s">
        <v>22</v>
      </c>
      <c r="B58" s="1">
        <v>1642</v>
      </c>
      <c r="D58" s="1">
        <v>9265</v>
      </c>
      <c r="F58" s="1">
        <v>1639</v>
      </c>
      <c r="K58" s="1">
        <v>13</v>
      </c>
      <c r="N58" s="1">
        <v>6062</v>
      </c>
      <c r="R58" s="1">
        <v>2189</v>
      </c>
      <c r="V58" s="1">
        <v>2261</v>
      </c>
      <c r="X58" s="1">
        <v>688</v>
      </c>
      <c r="AA58" s="1">
        <v>7870</v>
      </c>
      <c r="AC58" s="1">
        <v>5460</v>
      </c>
      <c r="AF58" s="1">
        <v>629</v>
      </c>
      <c r="AJ58" s="1">
        <v>337</v>
      </c>
      <c r="AO58" s="1">
        <v>11182</v>
      </c>
      <c r="AQ58" s="1">
        <v>9778</v>
      </c>
      <c r="AS58" s="1">
        <v>1407</v>
      </c>
      <c r="AU58" s="1">
        <v>20600</v>
      </c>
      <c r="AW58" s="1">
        <v>20600</v>
      </c>
      <c r="AY58" s="1">
        <v>20600</v>
      </c>
      <c r="BA58" s="1">
        <v>168</v>
      </c>
      <c r="BC58" s="1">
        <v>3071</v>
      </c>
      <c r="BF58" s="1">
        <v>293</v>
      </c>
      <c r="BK58" s="1">
        <v>981</v>
      </c>
      <c r="BP58" s="1">
        <v>3699</v>
      </c>
      <c r="BR58" s="1">
        <v>864</v>
      </c>
      <c r="BU58" s="1">
        <v>6279</v>
      </c>
      <c r="BW58" s="1">
        <f>1405+1563</f>
        <v>2968</v>
      </c>
      <c r="BZ58" s="1">
        <v>1152</v>
      </c>
      <c r="CE58" s="1">
        <v>309</v>
      </c>
      <c r="CH58" s="1">
        <v>21774</v>
      </c>
      <c r="CJ58" s="1">
        <v>23969</v>
      </c>
      <c r="CL58" s="20">
        <v>2303</v>
      </c>
      <c r="CM58" s="20"/>
      <c r="CR58" s="1">
        <v>7077</v>
      </c>
      <c r="CT58" s="1">
        <v>7077</v>
      </c>
      <c r="CV58" s="1">
        <v>7077</v>
      </c>
      <c r="CX58" s="1">
        <v>7077</v>
      </c>
      <c r="CZ58" s="1">
        <v>7077</v>
      </c>
      <c r="DB58" s="1">
        <v>7077</v>
      </c>
      <c r="DD58" s="1">
        <v>7077</v>
      </c>
      <c r="DF58" s="1">
        <v>7077</v>
      </c>
      <c r="DK58" s="20">
        <v>23969</v>
      </c>
      <c r="DL58" s="20"/>
      <c r="DM58" s="20">
        <v>23969</v>
      </c>
      <c r="DN58" s="20"/>
      <c r="DP58" s="20">
        <v>23969</v>
      </c>
      <c r="DQ58" s="20"/>
      <c r="DR58" s="20">
        <v>23969</v>
      </c>
      <c r="DS58" s="20"/>
      <c r="DU58" s="20">
        <v>23969</v>
      </c>
      <c r="DV58" s="20"/>
    </row>
    <row r="59" spans="1:126" hidden="1">
      <c r="A59" s="1" t="s">
        <v>12</v>
      </c>
      <c r="B59" s="4">
        <v>284</v>
      </c>
      <c r="D59" s="4">
        <v>3762</v>
      </c>
      <c r="F59" s="4">
        <v>2972</v>
      </c>
      <c r="I59" s="4">
        <f>45+318+112+115+74</f>
        <v>664</v>
      </c>
      <c r="K59" s="4">
        <v>77</v>
      </c>
      <c r="N59" s="4">
        <f>1282+302</f>
        <v>1584</v>
      </c>
      <c r="P59" s="4">
        <f>884+5060</f>
        <v>5944</v>
      </c>
      <c r="R59" s="4">
        <f>693+3+1704</f>
        <v>2400</v>
      </c>
      <c r="T59" s="4">
        <v>6904</v>
      </c>
      <c r="V59" s="4">
        <f>2352+2827+1</f>
        <v>5180</v>
      </c>
      <c r="X59" s="4">
        <v>672</v>
      </c>
      <c r="AA59" s="4">
        <v>2590</v>
      </c>
      <c r="AC59" s="4">
        <v>3594</v>
      </c>
      <c r="AF59" s="4">
        <f>150+6698+1494</f>
        <v>8342</v>
      </c>
      <c r="AH59" s="4">
        <v>6929</v>
      </c>
      <c r="AJ59" s="4">
        <v>8171</v>
      </c>
      <c r="AL59" s="4">
        <f>1701+3063</f>
        <v>4764</v>
      </c>
      <c r="AO59" s="4">
        <f>4065+11943</f>
        <v>16008</v>
      </c>
      <c r="AQ59" s="4">
        <f>4756+2225+547+17439</f>
        <v>24967</v>
      </c>
      <c r="AS59" s="4">
        <f>6745+2598</f>
        <v>9343</v>
      </c>
      <c r="AU59" s="4">
        <v>83900</v>
      </c>
      <c r="AW59" s="4">
        <v>83900</v>
      </c>
      <c r="AY59" s="4">
        <v>83900</v>
      </c>
      <c r="BA59" s="4">
        <f>150+173+4120</f>
        <v>4443</v>
      </c>
      <c r="BC59" s="4">
        <v>12943</v>
      </c>
      <c r="BF59" s="4">
        <v>1547</v>
      </c>
      <c r="BI59" s="4">
        <f>3934+6403</f>
        <v>10337</v>
      </c>
      <c r="BK59" s="4">
        <f>804</f>
        <v>804</v>
      </c>
      <c r="BN59" s="4">
        <v>3691</v>
      </c>
      <c r="BP59" s="4">
        <v>13481</v>
      </c>
      <c r="BR59" s="4">
        <v>2073</v>
      </c>
      <c r="BU59" s="4">
        <f>2643+1387</f>
        <v>4030</v>
      </c>
      <c r="BW59" s="4">
        <f>296+145+1524</f>
        <v>1965</v>
      </c>
      <c r="BZ59" s="4">
        <v>752</v>
      </c>
      <c r="CC59" s="4">
        <f>648+217</f>
        <v>865</v>
      </c>
      <c r="CE59" s="4">
        <v>2722</v>
      </c>
      <c r="CH59" s="4">
        <f>4527+7894</f>
        <v>12421</v>
      </c>
      <c r="CJ59" s="4">
        <v>20361</v>
      </c>
      <c r="CL59" s="22">
        <f>3554+3603</f>
        <v>7157</v>
      </c>
      <c r="CM59" s="20"/>
      <c r="CN59" s="4"/>
      <c r="CP59" s="4"/>
      <c r="CR59" s="4"/>
      <c r="CT59" s="4"/>
      <c r="CV59" s="4"/>
      <c r="CX59" s="4"/>
      <c r="CZ59" s="4"/>
      <c r="DB59" s="4"/>
      <c r="DD59" s="4"/>
      <c r="DF59" s="4"/>
      <c r="DI59" s="4">
        <f>576+468+4140</f>
        <v>5184</v>
      </c>
      <c r="DK59" s="22">
        <v>20361</v>
      </c>
      <c r="DL59" s="20"/>
      <c r="DM59" s="22">
        <v>20361</v>
      </c>
      <c r="DN59" s="20"/>
      <c r="DP59" s="22">
        <v>20361</v>
      </c>
      <c r="DQ59" s="20"/>
      <c r="DR59" s="22">
        <v>20361</v>
      </c>
      <c r="DS59" s="20"/>
      <c r="DU59" s="22">
        <v>20361</v>
      </c>
      <c r="DV59" s="20"/>
    </row>
    <row r="60" spans="1:126" hidden="1">
      <c r="B60" s="6">
        <f>SUM(B56:B59)</f>
        <v>2606</v>
      </c>
      <c r="D60" s="6">
        <f>SUM(D55:D59)</f>
        <v>35443</v>
      </c>
      <c r="F60" s="6">
        <f>SUM(F55:F59)</f>
        <v>12181</v>
      </c>
      <c r="I60" s="6">
        <f>SUM(I55:I59)</f>
        <v>4699</v>
      </c>
      <c r="K60" s="6">
        <f>SUM(K56:K59)</f>
        <v>90</v>
      </c>
      <c r="N60" s="6">
        <f>SUM(N55:N59)</f>
        <v>25166</v>
      </c>
      <c r="P60" s="6">
        <f>SUM(P55:P59)</f>
        <v>25093</v>
      </c>
      <c r="R60" s="6">
        <f>SUM(R55:R59)</f>
        <v>20597</v>
      </c>
      <c r="T60" s="6">
        <f>SUM(T55:T59)</f>
        <v>25414</v>
      </c>
      <c r="V60" s="6">
        <f>SUM(V55:V59)</f>
        <v>16595</v>
      </c>
      <c r="X60" s="6">
        <f>SUM(X55:X59)</f>
        <v>3543</v>
      </c>
      <c r="AA60" s="6">
        <f>SUM(AA55:AA59)</f>
        <v>20104</v>
      </c>
      <c r="AC60" s="6">
        <f>SUM(AC55:AC59)</f>
        <v>21191</v>
      </c>
      <c r="AF60" s="6">
        <f>SUM(AF55:AF59)</f>
        <v>38986</v>
      </c>
      <c r="AH60" s="6">
        <f>SUM(AH56:AH59)</f>
        <v>13993</v>
      </c>
      <c r="AJ60" s="6">
        <f>SUM(AJ55:AJ59)</f>
        <v>37349</v>
      </c>
      <c r="AL60" s="6">
        <f>SUM(AL55:AL59)</f>
        <v>62236</v>
      </c>
      <c r="AO60" s="6">
        <f>SUM(AO55:AO59)</f>
        <v>83106</v>
      </c>
      <c r="AQ60" s="6">
        <f>SUM(AQ55:AQ59)</f>
        <v>102471</v>
      </c>
      <c r="AS60" s="6">
        <f>SUM(AS55:AS59)</f>
        <v>43462</v>
      </c>
      <c r="AU60" s="6">
        <f>SUM(AU55:AU59)</f>
        <v>301000</v>
      </c>
      <c r="AW60" s="6">
        <f>SUM(AW55:AW59)</f>
        <v>301000</v>
      </c>
      <c r="AY60" s="6">
        <f>SUM(AY55:AY59)</f>
        <v>301000</v>
      </c>
      <c r="BA60" s="6">
        <f>SUM(BA55:BA59)</f>
        <v>25780</v>
      </c>
      <c r="BC60" s="6">
        <f>SUM(BC55:BC59)</f>
        <v>53784</v>
      </c>
      <c r="BF60" s="6">
        <f>SUM(BF56:BF59)</f>
        <v>3090</v>
      </c>
      <c r="BI60" s="6">
        <f>SUM(BI55:BI59)</f>
        <v>16251</v>
      </c>
      <c r="BK60" s="6">
        <f>SUM(BK55:BK59)</f>
        <v>2062</v>
      </c>
      <c r="BN60" s="6">
        <f>SUM(BN55:BN59)</f>
        <v>20308</v>
      </c>
      <c r="BP60" s="6">
        <f>SUM(BP55:BP59)</f>
        <v>56772</v>
      </c>
      <c r="BR60" s="6">
        <f>SUM(BR55:BR59)</f>
        <v>11426</v>
      </c>
      <c r="BU60" s="6">
        <f>SUM(BU55:BU59)</f>
        <v>23386</v>
      </c>
      <c r="BW60" s="6">
        <f>SUM(BW55:BW59)</f>
        <v>13316</v>
      </c>
      <c r="BZ60" s="6">
        <f>SUM(BZ55:BZ59)</f>
        <v>11406</v>
      </c>
      <c r="CC60" s="6">
        <f>SUM(CC55:CC59)</f>
        <v>1015</v>
      </c>
      <c r="CE60" s="6">
        <f>SUM(CE55:CE59)</f>
        <v>3031</v>
      </c>
      <c r="CH60" s="6">
        <f>SUM(CH55:CH59)</f>
        <v>115672</v>
      </c>
      <c r="CJ60" s="6">
        <f>SUM(CJ55:CJ59)</f>
        <v>122306</v>
      </c>
      <c r="CL60" s="6">
        <f>SUM(CL55:CL59)</f>
        <v>52682</v>
      </c>
      <c r="CM60" s="20"/>
      <c r="CN60" s="6">
        <f>248497+119772+53021</f>
        <v>421290</v>
      </c>
      <c r="CP60" s="6">
        <f>47506+64208+178521</f>
        <v>290235</v>
      </c>
      <c r="CR60" s="6">
        <f>SUM(CR55:CR59)</f>
        <v>313132</v>
      </c>
      <c r="CT60" s="6">
        <f>SUM(CT55:CT59)</f>
        <v>313132</v>
      </c>
      <c r="CV60" s="6">
        <f>SUM(CV55:CV59)</f>
        <v>313132</v>
      </c>
      <c r="CX60" s="6">
        <f>SUM(CX55:CX59)</f>
        <v>313132</v>
      </c>
      <c r="CZ60" s="6">
        <f>SUM(CZ55:CZ59)</f>
        <v>313132</v>
      </c>
      <c r="DB60" s="6">
        <f>SUM(DB55:DB59)</f>
        <v>313132</v>
      </c>
      <c r="DD60" s="6">
        <f>SUM(DD55:DD59)</f>
        <v>313132</v>
      </c>
      <c r="DF60" s="6">
        <f>SUM(DF55:DF59)</f>
        <v>313132</v>
      </c>
      <c r="DI60" s="6">
        <f>SUM(DI55:DI59)</f>
        <v>42152</v>
      </c>
      <c r="DK60" s="6">
        <f>SUM(DK55:DK59)</f>
        <v>122306</v>
      </c>
      <c r="DL60" s="20"/>
      <c r="DM60" s="6">
        <f>SUM(DM55:DM59)</f>
        <v>122306</v>
      </c>
      <c r="DN60" s="20"/>
      <c r="DP60" s="6">
        <f>SUM(DP55:DP59)</f>
        <v>122306</v>
      </c>
      <c r="DQ60" s="20"/>
      <c r="DR60" s="6">
        <f>SUM(DR55:DR59)</f>
        <v>122306</v>
      </c>
      <c r="DS60" s="20"/>
      <c r="DU60" s="6">
        <f>SUM(DU55:DU59)</f>
        <v>122306</v>
      </c>
      <c r="DV60" s="20"/>
    </row>
    <row r="61" spans="1:126" hidden="1">
      <c r="A61" s="7" t="s">
        <v>23</v>
      </c>
      <c r="B61" s="1">
        <v>5104</v>
      </c>
      <c r="D61" s="1">
        <v>28625</v>
      </c>
      <c r="F61" s="1">
        <v>19208</v>
      </c>
      <c r="I61" s="1">
        <v>16048</v>
      </c>
      <c r="K61" s="1">
        <v>871</v>
      </c>
      <c r="N61" s="1">
        <v>21241</v>
      </c>
      <c r="P61" s="1">
        <v>57014</v>
      </c>
      <c r="R61" s="1">
        <v>7812</v>
      </c>
      <c r="T61" s="1">
        <v>74472</v>
      </c>
      <c r="V61" s="1">
        <v>23253</v>
      </c>
      <c r="X61" s="1">
        <v>42569</v>
      </c>
      <c r="AA61" s="1">
        <v>19271</v>
      </c>
      <c r="AC61" s="1">
        <v>25804</v>
      </c>
      <c r="AF61" s="1">
        <v>72488</v>
      </c>
      <c r="AH61" s="1">
        <v>27611</v>
      </c>
      <c r="AJ61" s="1">
        <v>78202</v>
      </c>
      <c r="AL61" s="1">
        <v>27482</v>
      </c>
      <c r="AO61" s="1">
        <v>181148</v>
      </c>
      <c r="AQ61" s="1">
        <v>130407</v>
      </c>
      <c r="AS61" s="1">
        <v>62417</v>
      </c>
      <c r="AU61" s="1">
        <v>319900</v>
      </c>
      <c r="AW61" s="1">
        <v>319900</v>
      </c>
      <c r="AY61" s="1">
        <v>319900</v>
      </c>
      <c r="BA61" s="1">
        <v>31960</v>
      </c>
      <c r="BC61" s="1">
        <v>74910</v>
      </c>
      <c r="BF61" s="1">
        <v>5055</v>
      </c>
      <c r="BI61" s="1">
        <v>27723</v>
      </c>
      <c r="BK61" s="1">
        <v>22642</v>
      </c>
      <c r="BN61" s="1">
        <v>27460</v>
      </c>
      <c r="BP61" s="1">
        <v>45441</v>
      </c>
      <c r="BR61" s="1">
        <v>8107</v>
      </c>
      <c r="BU61" s="1">
        <v>64139</v>
      </c>
      <c r="BW61" s="1">
        <v>14815</v>
      </c>
      <c r="BZ61" s="1">
        <v>7779</v>
      </c>
      <c r="CC61" s="1">
        <v>9279</v>
      </c>
      <c r="CE61" s="1">
        <v>45248</v>
      </c>
      <c r="CH61" s="1">
        <v>90037</v>
      </c>
      <c r="CJ61" s="1">
        <v>81825</v>
      </c>
      <c r="CL61" s="20">
        <v>35643</v>
      </c>
      <c r="CM61" s="20"/>
      <c r="CN61" s="1">
        <v>91162</v>
      </c>
      <c r="CP61" s="1">
        <v>190459</v>
      </c>
      <c r="CR61" s="1">
        <v>84326</v>
      </c>
      <c r="CT61" s="1">
        <v>84326</v>
      </c>
      <c r="CV61" s="1">
        <v>84326</v>
      </c>
      <c r="CX61" s="1">
        <v>84326</v>
      </c>
      <c r="CZ61" s="1">
        <v>84326</v>
      </c>
      <c r="DB61" s="1">
        <v>84326</v>
      </c>
      <c r="DD61" s="1">
        <v>84326</v>
      </c>
      <c r="DF61" s="1">
        <v>84326</v>
      </c>
      <c r="DI61" s="1">
        <v>53502</v>
      </c>
      <c r="DK61" s="20">
        <v>81825</v>
      </c>
      <c r="DL61" s="20"/>
      <c r="DM61" s="20">
        <v>81825</v>
      </c>
      <c r="DN61" s="20"/>
      <c r="DP61" s="20">
        <v>81825</v>
      </c>
      <c r="DQ61" s="20"/>
      <c r="DR61" s="20">
        <v>81825</v>
      </c>
      <c r="DS61" s="20"/>
      <c r="DU61" s="20">
        <v>81825</v>
      </c>
      <c r="DV61" s="20"/>
    </row>
    <row r="62" spans="1:126" hidden="1">
      <c r="A62" s="1" t="s">
        <v>24</v>
      </c>
      <c r="B62" s="8">
        <f>B61+B60+B53</f>
        <v>16748</v>
      </c>
      <c r="D62" s="8">
        <f>D61+D60+D53</f>
        <v>101936</v>
      </c>
      <c r="F62" s="8">
        <f>F61+F60+F53</f>
        <v>48064</v>
      </c>
      <c r="I62" s="8">
        <f>I61+I60+I53</f>
        <v>27094</v>
      </c>
      <c r="K62" s="8">
        <f>K61+K60+K53</f>
        <v>1729</v>
      </c>
      <c r="N62" s="8">
        <f>N61+N60+N53</f>
        <v>62167</v>
      </c>
      <c r="P62" s="8">
        <f>P61+P60+P53</f>
        <v>96064</v>
      </c>
      <c r="R62" s="8">
        <f>R61+R60+R53</f>
        <v>42086</v>
      </c>
      <c r="T62" s="8">
        <f>T61+T60+T53</f>
        <v>126254</v>
      </c>
      <c r="V62" s="8">
        <f>V61+V60+V53</f>
        <v>55899</v>
      </c>
      <c r="X62" s="8">
        <f>X61+X60+X53</f>
        <v>70337</v>
      </c>
      <c r="AA62" s="8">
        <f>AA61+AA60+AA53</f>
        <v>52765</v>
      </c>
      <c r="AC62" s="8">
        <f>AC61+AC60+AC53</f>
        <v>64327</v>
      </c>
      <c r="AF62" s="8">
        <f>AF61+AF60+AF53</f>
        <v>142698</v>
      </c>
      <c r="AH62" s="8">
        <f>AH61+AH60+AH53</f>
        <v>62870</v>
      </c>
      <c r="AJ62" s="8">
        <f>AJ61+AJ60+AJ53</f>
        <v>139576</v>
      </c>
      <c r="AL62" s="8">
        <f>AL61+AL60+AL53</f>
        <v>118862</v>
      </c>
      <c r="AO62" s="8">
        <f>AO61+AO60+AO53</f>
        <v>357512</v>
      </c>
      <c r="AQ62" s="8">
        <f>AQ61+AQ60+AQ53</f>
        <v>305690</v>
      </c>
      <c r="AS62" s="8">
        <f>AS61+AS60+AS53</f>
        <v>140192</v>
      </c>
      <c r="AU62" s="8">
        <f>AU61+AU60+AU53</f>
        <v>784400</v>
      </c>
      <c r="AW62" s="8">
        <f>AW61+AW60+AW53</f>
        <v>784400</v>
      </c>
      <c r="AY62" s="8">
        <f>AY61+AY60+AY53</f>
        <v>784400</v>
      </c>
      <c r="BA62" s="8">
        <f>BA61+BA60+BA53</f>
        <v>65974</v>
      </c>
      <c r="BC62" s="8">
        <f>BC61+BC60+BC53</f>
        <v>173491</v>
      </c>
      <c r="BF62" s="8">
        <f>BF61+BF60+BF53</f>
        <v>15039</v>
      </c>
      <c r="BI62" s="8">
        <f>BI61+BI60+BI53</f>
        <v>55674</v>
      </c>
      <c r="BK62" s="8">
        <f>BK61+BK60+BK53</f>
        <v>31298</v>
      </c>
      <c r="BN62" s="8">
        <f>BN61+BN60+BN53</f>
        <v>56294</v>
      </c>
      <c r="BP62" s="8">
        <f>BP61+BP60+BP53</f>
        <v>122621</v>
      </c>
      <c r="BR62" s="8">
        <f>BR61+BR60+BR53</f>
        <v>25077</v>
      </c>
      <c r="BU62" s="8">
        <f>BU61+BU60+BU53</f>
        <v>120442</v>
      </c>
      <c r="BW62" s="8">
        <f>BW61+BW60+BW53</f>
        <v>45513</v>
      </c>
      <c r="BZ62" s="8">
        <f>BZ61+BZ60+BZ53</f>
        <v>27327</v>
      </c>
      <c r="CC62" s="8">
        <f>CC61+CC60+CC53</f>
        <v>13756</v>
      </c>
      <c r="CE62" s="8">
        <f>CE61+CE60+CE53</f>
        <v>65676</v>
      </c>
      <c r="CH62" s="8">
        <f>CH61+CH60+CH53</f>
        <v>324335</v>
      </c>
      <c r="CJ62" s="8">
        <f>CJ61+CJ60+CJ53</f>
        <v>309644</v>
      </c>
      <c r="CL62" s="8">
        <f>CL61+CL60+CL53</f>
        <v>138368</v>
      </c>
      <c r="CM62" s="20"/>
      <c r="CN62" s="8">
        <f>CN61+CN60+CN53</f>
        <v>1800140</v>
      </c>
      <c r="CP62" s="8">
        <f>CP61+CP60+CP53</f>
        <v>2671318</v>
      </c>
      <c r="CR62" s="8">
        <f>CR61+CR60+CR53</f>
        <v>1269628</v>
      </c>
      <c r="CT62" s="8">
        <f>CT61+CT60+CT53</f>
        <v>1269628</v>
      </c>
      <c r="CV62" s="8">
        <f>CV61+CV60+CV53</f>
        <v>1269628</v>
      </c>
      <c r="CX62" s="8">
        <f>CX61+CX60+CX53</f>
        <v>1269628</v>
      </c>
      <c r="CZ62" s="8">
        <f>CZ61+CZ60+CZ53</f>
        <v>1269628</v>
      </c>
      <c r="DB62" s="8">
        <f>DB61+DB60+DB53</f>
        <v>1269628</v>
      </c>
      <c r="DD62" s="8">
        <f>DD61+DD60+DD53</f>
        <v>1269628</v>
      </c>
      <c r="DF62" s="8">
        <f>DF61+DF60+DF53</f>
        <v>1269628</v>
      </c>
      <c r="DI62" s="8">
        <f>DI61+DI60+DI53</f>
        <v>111025</v>
      </c>
      <c r="DK62" s="25">
        <v>309644</v>
      </c>
      <c r="DL62" s="20"/>
      <c r="DM62" s="25">
        <v>309644</v>
      </c>
      <c r="DN62" s="20"/>
      <c r="DP62" s="25">
        <v>309644</v>
      </c>
      <c r="DQ62" s="20"/>
      <c r="DR62" s="25">
        <v>309644</v>
      </c>
      <c r="DS62" s="20"/>
      <c r="DU62" s="25">
        <v>309644</v>
      </c>
      <c r="DV62" s="20"/>
    </row>
    <row r="63" spans="1:126">
      <c r="B63" s="10"/>
      <c r="D63" s="10"/>
      <c r="F63" s="10"/>
      <c r="I63" s="10"/>
      <c r="K63" s="10"/>
      <c r="N63" s="10"/>
      <c r="P63" s="10"/>
      <c r="R63" s="10"/>
      <c r="T63" s="10"/>
      <c r="V63" s="10"/>
      <c r="X63" s="10"/>
      <c r="AA63" s="10"/>
      <c r="AC63" s="10"/>
      <c r="CL63" s="20"/>
      <c r="CM63" s="20"/>
      <c r="DI63" s="10"/>
      <c r="DK63" s="20"/>
      <c r="DL63" s="20"/>
      <c r="DM63" s="20"/>
      <c r="DN63" s="20"/>
      <c r="DP63" s="20"/>
      <c r="DQ63" s="20"/>
      <c r="DR63" s="20"/>
      <c r="DS63" s="20"/>
      <c r="DU63" s="20"/>
      <c r="DV63" s="20"/>
    </row>
    <row r="64" spans="1:126" ht="18">
      <c r="A64" s="11" t="s">
        <v>45</v>
      </c>
      <c r="CL64" s="20"/>
      <c r="CM64" s="20"/>
      <c r="DK64" s="20"/>
      <c r="DL64" s="20"/>
      <c r="DM64" s="20"/>
      <c r="DN64" s="20"/>
      <c r="DP64" s="20"/>
      <c r="DQ64" s="20"/>
      <c r="DR64" s="20"/>
      <c r="DS64" s="20"/>
      <c r="DU64" s="20"/>
      <c r="DV64" s="20"/>
    </row>
    <row r="65" spans="1:126" ht="18">
      <c r="A65" s="11" t="s">
        <v>106</v>
      </c>
      <c r="CL65" s="20"/>
      <c r="CM65" s="20"/>
      <c r="DK65" s="20"/>
      <c r="DL65" s="20"/>
      <c r="DM65" s="20"/>
      <c r="DN65" s="20"/>
      <c r="DP65" s="20"/>
      <c r="DQ65" s="20"/>
      <c r="DR65" s="20"/>
      <c r="DS65" s="20"/>
      <c r="DU65" s="20"/>
      <c r="DV65" s="20"/>
    </row>
    <row r="66" spans="1:126">
      <c r="A66" s="1" t="s">
        <v>67</v>
      </c>
      <c r="B66" s="3">
        <f>B9/B5</f>
        <v>0.19463219695100892</v>
      </c>
      <c r="D66" s="3">
        <f>D9/D5</f>
        <v>0.2744919743812762</v>
      </c>
      <c r="F66" s="3">
        <f>F9/F5</f>
        <v>0.28656088701969029</v>
      </c>
      <c r="I66" s="3">
        <f>I9/I5</f>
        <v>0.70270591733571219</v>
      </c>
      <c r="N66" s="3">
        <f>N9/N5</f>
        <v>0.78375374091492089</v>
      </c>
      <c r="P66" s="3">
        <f>P9/P5</f>
        <v>0.67724803496100272</v>
      </c>
      <c r="R66" s="3">
        <f>R9/R5</f>
        <v>0.69069986794944349</v>
      </c>
      <c r="T66" s="3">
        <f>T9/T5</f>
        <v>0.6771926795580111</v>
      </c>
      <c r="V66" s="3">
        <f>V9/V5</f>
        <v>0.79537940959122555</v>
      </c>
      <c r="X66" s="3">
        <f>X9/X5</f>
        <v>0.83896520365672711</v>
      </c>
      <c r="AA66" s="3">
        <f>AA9/AA5</f>
        <v>0.5079117389399912</v>
      </c>
      <c r="AC66" s="3">
        <f>AC9/AC5</f>
        <v>0.26301616939120276</v>
      </c>
      <c r="AF66" s="3">
        <f>AF9/AF5</f>
        <v>0.31364607942400718</v>
      </c>
      <c r="AJ66" s="3">
        <f>AJ9/AJ5</f>
        <v>0.32037830967102571</v>
      </c>
      <c r="AL66" s="3">
        <f>AL9/AL5</f>
        <v>0</v>
      </c>
      <c r="AO66" s="3">
        <f>AO9/AO5</f>
        <v>0.21555065542344898</v>
      </c>
      <c r="AQ66" s="3">
        <f>AQ9/AQ5</f>
        <v>0.21307657410533423</v>
      </c>
      <c r="AS66" s="3">
        <v>0.22</v>
      </c>
      <c r="AU66" s="3">
        <f>AU9/AU5</f>
        <v>1</v>
      </c>
      <c r="AW66" s="3">
        <f>AW9/AW5</f>
        <v>1</v>
      </c>
      <c r="AY66" s="3">
        <f>AY9/AY5</f>
        <v>1</v>
      </c>
      <c r="BA66" s="3">
        <f>BA9/BA5</f>
        <v>0.84905168820341814</v>
      </c>
      <c r="BC66" s="3">
        <f>BC9/BC5</f>
        <v>0.28643500043692288</v>
      </c>
      <c r="BI66" s="3">
        <f>BI9/BI5</f>
        <v>0.65504820062437819</v>
      </c>
      <c r="BK66" s="3">
        <f>BK9/BK5</f>
        <v>0.71265668523676884</v>
      </c>
      <c r="BN66" s="3">
        <f>BN9/BN5</f>
        <v>0.78275104467324341</v>
      </c>
      <c r="BP66" s="3">
        <f>BP9/BP5</f>
        <v>0.58632224961014134</v>
      </c>
      <c r="BR66" s="3">
        <f>BR9/BR5</f>
        <v>0.60902650223038568</v>
      </c>
      <c r="BU66" s="3">
        <f>BU9/BU5</f>
        <v>0.48028386032683001</v>
      </c>
      <c r="BW66" s="3">
        <f>BW9/BW5</f>
        <v>0.41271562543928347</v>
      </c>
      <c r="BZ66" s="3">
        <f>BZ9/BZ5</f>
        <v>0.78196181698485845</v>
      </c>
      <c r="CC66" s="3">
        <f>CC9/CC5</f>
        <v>0.59333891413537432</v>
      </c>
      <c r="CE66" s="3">
        <f>CE9/CE5</f>
        <v>0.59141114792862592</v>
      </c>
      <c r="CH66" s="3">
        <f>CH9/CH5</f>
        <v>0.18070423893567233</v>
      </c>
      <c r="CJ66" s="3">
        <f>CJ9/CJ5</f>
        <v>0.1824721293778156</v>
      </c>
      <c r="CL66" s="23">
        <v>0.18</v>
      </c>
      <c r="CM66" s="20"/>
      <c r="CN66" s="3">
        <f>CN9/CN5</f>
        <v>0.67514173420054957</v>
      </c>
      <c r="CP66" s="3">
        <f>CP9/CP5</f>
        <v>0.82619265088175364</v>
      </c>
      <c r="CR66" s="3">
        <f>CR9/CR5</f>
        <v>1</v>
      </c>
      <c r="CT66" s="3">
        <f>CT9/CT5</f>
        <v>1</v>
      </c>
      <c r="CV66" s="3">
        <f>CV9/CV5</f>
        <v>1</v>
      </c>
      <c r="CX66" s="3">
        <f>CX9/CX5</f>
        <v>1</v>
      </c>
      <c r="CZ66" s="3">
        <f>CZ9/CZ5</f>
        <v>1</v>
      </c>
      <c r="DB66" s="3">
        <f>DB9/DB5</f>
        <v>1</v>
      </c>
      <c r="DD66" s="3">
        <f>DD9/DD5</f>
        <v>1</v>
      </c>
      <c r="DF66" s="3">
        <f>DF9/DF5</f>
        <v>1</v>
      </c>
      <c r="DI66" s="3">
        <f>DI9/DI5</f>
        <v>0.81554005198256829</v>
      </c>
      <c r="DK66" s="23">
        <v>0.18</v>
      </c>
      <c r="DL66" s="20"/>
      <c r="DM66" s="23">
        <v>0.18</v>
      </c>
      <c r="DN66" s="20"/>
      <c r="DP66" s="23">
        <v>0.18</v>
      </c>
      <c r="DQ66" s="20"/>
      <c r="DR66" s="23">
        <v>0.18</v>
      </c>
      <c r="DS66" s="20"/>
      <c r="DU66" s="23">
        <v>0.18</v>
      </c>
      <c r="DV66" s="20"/>
    </row>
    <row r="67" spans="1:126">
      <c r="A67" s="1" t="s">
        <v>68</v>
      </c>
      <c r="B67" s="3">
        <f>B15/B5</f>
        <v>7.2179189895900137E-2</v>
      </c>
      <c r="D67" s="3">
        <f>D15/D5</f>
        <v>7.0214280066418916E-2</v>
      </c>
      <c r="F67" s="3">
        <f>F15/F5</f>
        <v>0.10483177212770024</v>
      </c>
      <c r="I67" s="3">
        <f>I15/I5</f>
        <v>0.26535831103181684</v>
      </c>
      <c r="N67" s="3">
        <f>N15/N5</f>
        <v>0.35006412997007269</v>
      </c>
      <c r="P67" s="3">
        <f>P15/P5</f>
        <v>0.15495736092986556</v>
      </c>
      <c r="R67" s="3">
        <f>R15/R5</f>
        <v>0.26515751744953781</v>
      </c>
      <c r="T67" s="3">
        <f>T15/T5</f>
        <v>0.18836325966850828</v>
      </c>
      <c r="V67" s="3">
        <f>V15/V5</f>
        <v>0.14437400334487185</v>
      </c>
      <c r="X67" s="3">
        <f>X15/X5</f>
        <v>0.37683673957784902</v>
      </c>
      <c r="AA67" s="3">
        <f>AA15/AA5</f>
        <v>0.11358409986859395</v>
      </c>
      <c r="AC67" s="3">
        <f>AC15/AC5</f>
        <v>0.11401135540906146</v>
      </c>
      <c r="AF67" s="3">
        <f>AF15/AF5</f>
        <v>-3.9127010912363598E-2</v>
      </c>
      <c r="AJ67" s="3">
        <f>AJ15/AJ5</f>
        <v>0.13059870306137839</v>
      </c>
      <c r="AL67" s="3">
        <f>AL15/AL5</f>
        <v>0.1656122395331312</v>
      </c>
      <c r="AO67" s="3">
        <f>AO15/AO5</f>
        <v>6.1961062417587288E-2</v>
      </c>
      <c r="AQ67" s="3">
        <f>AQ15/AQ5</f>
        <v>7.5381920999324781E-2</v>
      </c>
      <c r="AS67" s="3">
        <f>AS15/AS5</f>
        <v>7.7491128800230166E-2</v>
      </c>
      <c r="AU67" s="3">
        <f>AU15/AU5</f>
        <v>0.29035000708516367</v>
      </c>
      <c r="AW67" s="3">
        <f>AW15/AW5</f>
        <v>0.29035000708516367</v>
      </c>
      <c r="AY67" s="3">
        <f>AY15/AY5</f>
        <v>0.29035000708516367</v>
      </c>
      <c r="BA67" s="3">
        <f>BA15/BA5</f>
        <v>0.19106919549812421</v>
      </c>
      <c r="BC67" s="3">
        <f>BC15/BC5</f>
        <v>0.10376044973930267</v>
      </c>
      <c r="BI67" s="3">
        <f>BI15/BI5</f>
        <v>0.20220247692888263</v>
      </c>
      <c r="BK67" s="3">
        <f>BK15/BK5</f>
        <v>0.1627350278551532</v>
      </c>
      <c r="BN67" s="3">
        <f>BN15/BN5</f>
        <v>0.18106233576013442</v>
      </c>
      <c r="BP67" s="3">
        <f>BP15/BP5</f>
        <v>0.3202625886614015</v>
      </c>
      <c r="BR67" s="3">
        <f>BR15/BR5</f>
        <v>0.29064987317414503</v>
      </c>
      <c r="BU67" s="3">
        <f>BU15/BU5</f>
        <v>0.14179995225590833</v>
      </c>
      <c r="BW67" s="3">
        <f>BW15/BW5</f>
        <v>0.15095286864670562</v>
      </c>
      <c r="BZ67" s="3">
        <f>BZ15/BZ5</f>
        <v>0.35628703094140884</v>
      </c>
      <c r="CC67" s="3">
        <f>CC15/CC5</f>
        <v>0.1836283185840708</v>
      </c>
      <c r="CE67" s="3">
        <f>CE15/CE5</f>
        <v>0.17243042267544065</v>
      </c>
      <c r="CH67" s="3">
        <f>CH15/CH5</f>
        <v>5.9236473830879106E-2</v>
      </c>
      <c r="CJ67" s="3">
        <f>CJ15/CJ5</f>
        <v>7.5136498577923566E-2</v>
      </c>
      <c r="CL67" s="23">
        <v>0.06</v>
      </c>
      <c r="CM67" s="20"/>
      <c r="CN67" s="3">
        <f>CN15/CN5</f>
        <v>0.13620395812319572</v>
      </c>
      <c r="CP67" s="3">
        <f>CP15/CP5</f>
        <v>0.28440947094779739</v>
      </c>
      <c r="CR67" s="3">
        <f>CR15/CR5</f>
        <v>3.7936230193448044E-2</v>
      </c>
      <c r="CT67" s="3">
        <f>CT15/CT5</f>
        <v>3.7936230193448044E-2</v>
      </c>
      <c r="CV67" s="3">
        <f>CV15/CV5</f>
        <v>3.7936230193448044E-2</v>
      </c>
      <c r="CX67" s="3">
        <f>CX15/CX5</f>
        <v>3.7936230193448044E-2</v>
      </c>
      <c r="CZ67" s="3">
        <f>CZ15/CZ5</f>
        <v>3.7936230193448044E-2</v>
      </c>
      <c r="DB67" s="3">
        <f>DB15/DB5</f>
        <v>3.7936230193448044E-2</v>
      </c>
      <c r="DD67" s="3">
        <f>DD15/DD5</f>
        <v>3.7936230193448044E-2</v>
      </c>
      <c r="DF67" s="3">
        <f>DF15/DF5</f>
        <v>3.7936230193448044E-2</v>
      </c>
      <c r="DI67" s="3">
        <f>DI15/DI5</f>
        <v>0.14519942936428837</v>
      </c>
      <c r="DK67" s="23">
        <v>0.06</v>
      </c>
      <c r="DL67" s="20"/>
      <c r="DM67" s="23">
        <v>0.06</v>
      </c>
      <c r="DN67" s="20"/>
      <c r="DP67" s="23">
        <v>0.06</v>
      </c>
      <c r="DQ67" s="20"/>
      <c r="DR67" s="23">
        <v>0.06</v>
      </c>
      <c r="DS67" s="20"/>
      <c r="DU67" s="23">
        <v>0.06</v>
      </c>
      <c r="DV67" s="20"/>
    </row>
    <row r="68" spans="1:126">
      <c r="A68" s="1" t="s">
        <v>109</v>
      </c>
      <c r="B68" s="3">
        <f>B22/D5</f>
        <v>1.4417121319944123E-2</v>
      </c>
      <c r="D68" s="3">
        <v>0.06</v>
      </c>
      <c r="F68" s="3">
        <f>F22/F5</f>
        <v>6.9465685337411584E-2</v>
      </c>
      <c r="I68" s="3">
        <f>I22/I5</f>
        <v>0.19774011299435029</v>
      </c>
      <c r="N68" s="3">
        <f>N22/N5</f>
        <v>0.24311671654553227</v>
      </c>
      <c r="P68" s="3">
        <f>P22/P5</f>
        <v>0.1175988589117174</v>
      </c>
      <c r="R68" s="3">
        <f>R22/R5</f>
        <v>0.21233729485002831</v>
      </c>
      <c r="T68" s="3">
        <f>T22/T5</f>
        <v>0.16042817679558011</v>
      </c>
      <c r="V68" s="3">
        <f>V22/V5</f>
        <v>9.9996110614134034E-2</v>
      </c>
      <c r="X68" s="3">
        <f>X22/X5</f>
        <v>0.30134494806873113</v>
      </c>
      <c r="AA68" s="3">
        <f>AA22/AA5</f>
        <v>6.7674113009198428E-2</v>
      </c>
      <c r="AC68" s="3">
        <f>AC22/AC5</f>
        <v>6.6328798790788651E-2</v>
      </c>
      <c r="AF68" s="3">
        <f>AF22/AF5</f>
        <v>1.5142310721115985E-2</v>
      </c>
      <c r="AJ68" s="3">
        <f>AJ22/AJ5</f>
        <v>0.1508714479608764</v>
      </c>
      <c r="AL68" s="3">
        <f>AL22/AL5</f>
        <v>8.7082245316415771E-2</v>
      </c>
      <c r="AO68" s="3">
        <f>AO22/AO5</f>
        <v>3.6623932097465846E-2</v>
      </c>
      <c r="AQ68" s="3">
        <f>AQ22/AQ5</f>
        <v>6.2663529709655635E-2</v>
      </c>
      <c r="AS68" s="3">
        <f>AS22/AS5</f>
        <v>4.3235655684106818E-2</v>
      </c>
      <c r="AU68" s="3">
        <f>AU22/AU5</f>
        <v>9.8483774975201929E-2</v>
      </c>
      <c r="AW68" s="3">
        <f>AW22/AW5</f>
        <v>9.8483774975201929E-2</v>
      </c>
      <c r="AY68" s="3">
        <f>AY22/AY5</f>
        <v>9.8483774975201929E-2</v>
      </c>
      <c r="BA68" s="3">
        <f>BA22/BA5</f>
        <v>0.12765735723218008</v>
      </c>
      <c r="BC68" s="3">
        <f>BC22/BC5</f>
        <v>5.045585622323847E-2</v>
      </c>
      <c r="BI68" s="3">
        <f>BI22/BI5</f>
        <v>0.13540773268379705</v>
      </c>
      <c r="BK68" s="3">
        <f>BK22/BK5</f>
        <v>0.12887360724233984</v>
      </c>
      <c r="BN68" s="3">
        <f>BN22/BN5</f>
        <v>0.15125145392667902</v>
      </c>
      <c r="BP68" s="3">
        <f>BP22/BP5</f>
        <v>0.23728557774535944</v>
      </c>
      <c r="BR68" s="3">
        <f>BR22/BR5</f>
        <v>0.22688708125601328</v>
      </c>
      <c r="BU68" s="3">
        <f>BU22/BU5</f>
        <v>0.11333796306343454</v>
      </c>
      <c r="BW68" s="3">
        <f>BW22/BW5</f>
        <v>0.10568909773681145</v>
      </c>
      <c r="BZ68" s="3">
        <f>BZ22/BZ5</f>
        <v>0.27136273864384464</v>
      </c>
      <c r="CC68" s="3">
        <f>CC22/CC5</f>
        <v>0.14243004066012915</v>
      </c>
      <c r="CE68" s="3">
        <f>CE22/CE5</f>
        <v>0.1334142281545091</v>
      </c>
      <c r="CH68" s="3">
        <f>CH22/CH5</f>
        <v>4.6419670367042795E-2</v>
      </c>
      <c r="CJ68" s="3">
        <f>CJ22/CJ5</f>
        <v>0.11357927297639561</v>
      </c>
      <c r="CL68" s="3">
        <f>CL22/CL5</f>
        <v>7.0209576901838072E-2</v>
      </c>
      <c r="CM68" s="20"/>
      <c r="CN68" s="3">
        <f>CN22/CN5</f>
        <v>9.4588014329936354E-2</v>
      </c>
      <c r="CP68" s="3">
        <f>CP22/CP5</f>
        <v>0.25012295369914989</v>
      </c>
      <c r="CR68" s="3">
        <f>CR22/CR5</f>
        <v>3.6137843880626033E-2</v>
      </c>
      <c r="CT68" s="3">
        <f>CT22/CT5</f>
        <v>3.6137843880626033E-2</v>
      </c>
      <c r="CV68" s="3">
        <f>CV22/CV5</f>
        <v>3.6137843880626033E-2</v>
      </c>
      <c r="CX68" s="3">
        <f>CX22/CX5</f>
        <v>3.6137843880626033E-2</v>
      </c>
      <c r="CZ68" s="3">
        <f>CZ22/CZ5</f>
        <v>3.6137843880626033E-2</v>
      </c>
      <c r="DB68" s="3">
        <f>DB22/DB5</f>
        <v>3.6137843880626033E-2</v>
      </c>
      <c r="DD68" s="3">
        <f>DD22/DD5</f>
        <v>3.6137843880626033E-2</v>
      </c>
      <c r="DF68" s="3">
        <f>DF22/DF5</f>
        <v>3.6137843880626033E-2</v>
      </c>
      <c r="DI68" s="3">
        <f>DI22/DI5</f>
        <v>2.1086162083992888E-2</v>
      </c>
      <c r="DK68" s="3">
        <f>DK22/DK5</f>
        <v>0.11357927297639561</v>
      </c>
      <c r="DL68" s="20"/>
      <c r="DM68" s="3">
        <f>DM22/DM5</f>
        <v>0.11357927297639561</v>
      </c>
      <c r="DN68" s="20"/>
      <c r="DP68" s="3">
        <f>DP22/DP5</f>
        <v>0.11357927297639561</v>
      </c>
      <c r="DQ68" s="20"/>
      <c r="DR68" s="3">
        <f>DR22/DR5</f>
        <v>0.11357927297639561</v>
      </c>
      <c r="DS68" s="20"/>
      <c r="DU68" s="3">
        <f>DU22/DU5</f>
        <v>0.11357927297639561</v>
      </c>
      <c r="DV68" s="20"/>
    </row>
    <row r="69" spans="1:126">
      <c r="A69" s="1" t="s">
        <v>108</v>
      </c>
      <c r="B69" s="3">
        <f>(B18-B16)/(B61+B60)</f>
        <v>0.18975356679636834</v>
      </c>
      <c r="D69" s="3">
        <f>(D18-D16)/(D61+D60)</f>
        <v>9.1121932946244613E-2</v>
      </c>
      <c r="F69" s="3">
        <f>F20/F43</f>
        <v>6.1251664447403459E-2</v>
      </c>
      <c r="I69" s="3">
        <f>I20/I43</f>
        <v>0.12272089761570827</v>
      </c>
      <c r="N69" s="3">
        <f>N20/N43</f>
        <v>0.18294271880579729</v>
      </c>
      <c r="P69" s="3">
        <f>P20/P43</f>
        <v>4.0337271638994428E-2</v>
      </c>
      <c r="R69" s="3">
        <f>R20/R43</f>
        <v>0.1337261797272252</v>
      </c>
      <c r="T69" s="3">
        <f>T20/T43</f>
        <v>7.3597668192690924E-2</v>
      </c>
      <c r="V69" s="3">
        <f>V20/V43</f>
        <v>4.5993667149680673E-2</v>
      </c>
      <c r="X69" s="3">
        <f>X20/X43</f>
        <v>0.35804768471785831</v>
      </c>
      <c r="AA69" s="3">
        <f>AA20/AA43</f>
        <v>4.684923718373922E-2</v>
      </c>
      <c r="AC69" s="3">
        <f>AC20/AC43</f>
        <v>8.1178976168638367E-2</v>
      </c>
      <c r="AF69" s="3">
        <f>AF20/AF43</f>
        <v>4.7162539068522332E-3</v>
      </c>
      <c r="AJ69" s="3">
        <f>AJ20/AJ43</f>
        <v>5.0173382243365622E-2</v>
      </c>
      <c r="AL69" s="3">
        <f>AL20/AL43</f>
        <v>4.1804782016119535E-2</v>
      </c>
      <c r="AO69" s="3">
        <f>AO20/AO43</f>
        <v>4.6225021817449481E-2</v>
      </c>
      <c r="AQ69" s="3">
        <f>AQ20/AQ43</f>
        <v>7.7719258071902914E-2</v>
      </c>
      <c r="AS69" s="3">
        <v>0.11</v>
      </c>
      <c r="AU69" s="3">
        <f>AU20/AU43</f>
        <v>8.860275369709332E-2</v>
      </c>
      <c r="AW69" s="3">
        <f>AW20/AW43</f>
        <v>8.860275369709332E-2</v>
      </c>
      <c r="AY69" s="3">
        <f>AY20/AY43</f>
        <v>8.860275369709332E-2</v>
      </c>
      <c r="BA69" s="3">
        <f>BA20/BA43</f>
        <v>3.3422257252857183E-2</v>
      </c>
      <c r="BC69" s="3">
        <f>BC20/BC43</f>
        <v>4.9921897965888723E-2</v>
      </c>
      <c r="BI69" s="3">
        <f>BI20/BI43</f>
        <v>7.0894852175162559E-2</v>
      </c>
      <c r="BK69" s="3">
        <f>BK20/BK43</f>
        <v>9.4606684133171443E-2</v>
      </c>
      <c r="BN69" s="3">
        <f>BN20/BN43</f>
        <v>6.236899136675312E-2</v>
      </c>
      <c r="BP69" s="3">
        <f>BP20/BP43</f>
        <v>7.6936250723774885E-2</v>
      </c>
      <c r="BR69" s="3">
        <f>BR20/BR43</f>
        <v>0.10344140048650158</v>
      </c>
      <c r="BU69" s="3">
        <f>BU20/BU43</f>
        <v>8.6722239750253227E-2</v>
      </c>
      <c r="BW69" s="3">
        <f>BW20/BW43</f>
        <v>0.11563729044448839</v>
      </c>
      <c r="BZ69" s="3">
        <f>BZ20/BZ43</f>
        <v>0.15083982874080579</v>
      </c>
      <c r="CC69" s="3">
        <f>CC20/CC43</f>
        <v>0.17316080255888339</v>
      </c>
      <c r="CE69" s="3">
        <f>CE20/CE43</f>
        <v>0.26116085023448443</v>
      </c>
      <c r="CH69" s="3">
        <f>CH20/CH43</f>
        <v>2.8196329081530403E-2</v>
      </c>
      <c r="CJ69" s="3">
        <f>CJ20/CJ43</f>
        <v>7.2071241322074528E-2</v>
      </c>
      <c r="CL69" s="23">
        <v>7.0000000000000007E-2</v>
      </c>
      <c r="CM69" s="20"/>
      <c r="CN69" s="3">
        <f>CN20/CN43</f>
        <v>3.0214316664259446E-3</v>
      </c>
      <c r="CP69" s="3">
        <f>CP20/CP43</f>
        <v>6.6633774039631371E-3</v>
      </c>
      <c r="CR69" s="3">
        <f>CR20/CR43</f>
        <v>2.3424184091718203E-3</v>
      </c>
      <c r="CT69" s="3">
        <f>CT20/CT43</f>
        <v>2.3424184091718203E-3</v>
      </c>
      <c r="CV69" s="3">
        <f>CV20/CV43</f>
        <v>2.3424184091718203E-3</v>
      </c>
      <c r="CX69" s="3">
        <f>CX20/CX43</f>
        <v>2.3424184091718203E-3</v>
      </c>
      <c r="CZ69" s="3">
        <f>CZ20/CZ43</f>
        <v>2.3424184091718203E-3</v>
      </c>
      <c r="DB69" s="3">
        <f>DB20/DB43</f>
        <v>2.3424184091718203E-3</v>
      </c>
      <c r="DD69" s="3">
        <f>DD20/DD43</f>
        <v>2.3424184091718203E-3</v>
      </c>
      <c r="DF69" s="3">
        <f>DF20/DF43</f>
        <v>2.3424184091718203E-3</v>
      </c>
      <c r="DI69" s="3">
        <f>DI20/DI43</f>
        <v>9.7185318621931995E-3</v>
      </c>
      <c r="DK69" s="23">
        <v>7.0000000000000007E-2</v>
      </c>
      <c r="DL69" s="20"/>
      <c r="DM69" s="23">
        <v>7.0000000000000007E-2</v>
      </c>
      <c r="DN69" s="20"/>
      <c r="DP69" s="23">
        <v>7.0000000000000007E-2</v>
      </c>
      <c r="DQ69" s="20"/>
      <c r="DR69" s="23">
        <v>7.0000000000000007E-2</v>
      </c>
      <c r="DS69" s="20"/>
      <c r="DU69" s="23">
        <v>7.0000000000000007E-2</v>
      </c>
      <c r="DV69" s="20"/>
    </row>
    <row r="70" spans="1:126">
      <c r="A70" s="1" t="s">
        <v>107</v>
      </c>
      <c r="B70" s="3">
        <f>B22/B61</f>
        <v>0.21434169278996865</v>
      </c>
      <c r="D70" s="3">
        <f>D22/D61</f>
        <v>0.15406113537117905</v>
      </c>
      <c r="F70" s="3">
        <f>F20/F61</f>
        <v>0.15326947105372762</v>
      </c>
      <c r="I70" s="3">
        <f>I20/I61</f>
        <v>0.20719092721834498</v>
      </c>
      <c r="K70" s="3">
        <f>K20/K61</f>
        <v>-3.6739380022962113E-2</v>
      </c>
      <c r="N70" s="3">
        <f>N20/N61</f>
        <v>0.53542676898451114</v>
      </c>
      <c r="P70" s="3">
        <f>P20/P61</f>
        <v>6.7965762795102955E-2</v>
      </c>
      <c r="R70" s="3">
        <f>R20/R61</f>
        <v>0.72043010752688175</v>
      </c>
      <c r="T70" s="3">
        <f>T20/T61</f>
        <v>0.12477172628638951</v>
      </c>
      <c r="V70" s="3">
        <f>V20/V61</f>
        <v>0.11056637853180235</v>
      </c>
      <c r="X70" s="3">
        <f>X20/X61</f>
        <v>0.59160421903262939</v>
      </c>
      <c r="AA70" s="3">
        <f>AA20/AA61</f>
        <v>0.1282756473457527</v>
      </c>
      <c r="AC70" s="3">
        <f>AC20/AC61</f>
        <v>0.20237172531390482</v>
      </c>
      <c r="AF70" s="3">
        <f>AF20/AF61</f>
        <v>9.2842953316410997E-3</v>
      </c>
      <c r="AH70" s="3">
        <f>AH20/AH61</f>
        <v>-1.7457897214878129</v>
      </c>
      <c r="AJ70" s="3">
        <f>AJ20/AJ61</f>
        <v>8.9550139382624488E-2</v>
      </c>
      <c r="AL70" s="3">
        <f>AL20/AL61</f>
        <v>0.18080925696819736</v>
      </c>
      <c r="AO70" s="3">
        <f>AO20/AO61</f>
        <v>9.1229271093249714E-2</v>
      </c>
      <c r="AQ70" s="3">
        <f>AQ20/AQ61</f>
        <v>0.1821834717461486</v>
      </c>
      <c r="AS70" s="3">
        <f>AS20/AS61</f>
        <v>7.9449508947882788E-2</v>
      </c>
      <c r="AU70" s="3">
        <f>AU20/AU61</f>
        <v>0.21725539231009691</v>
      </c>
      <c r="AW70" s="3">
        <f>AW20/AW61</f>
        <v>0.21725539231009691</v>
      </c>
      <c r="AY70" s="3">
        <f>AY20/AY61</f>
        <v>0.21725539231009691</v>
      </c>
      <c r="BA70" s="3">
        <f>BA20/BA61</f>
        <v>6.899249061326658E-2</v>
      </c>
      <c r="BC70" s="3">
        <f>BC20/BC61</f>
        <v>0.11561874249098919</v>
      </c>
      <c r="BF70" s="3">
        <f>BF20/BF61</f>
        <v>-3.8460929772502475</v>
      </c>
      <c r="BI70" s="3">
        <f>BI20/BI61</f>
        <v>0.14237275908090755</v>
      </c>
      <c r="BK70" s="3">
        <f>BK20/BK61</f>
        <v>0.13077466654889144</v>
      </c>
      <c r="BN70" s="3">
        <f>BN20/BN61</f>
        <v>0.12785870356882739</v>
      </c>
      <c r="BP70" s="3">
        <f>BP20/BP61</f>
        <v>0.20760986774058671</v>
      </c>
      <c r="BR70" s="3">
        <f>BR20/BR61</f>
        <v>0.31997039595411375</v>
      </c>
      <c r="BU70" s="3">
        <f>BU20/BU61</f>
        <v>0.1628494363803614</v>
      </c>
      <c r="BW70" s="3">
        <f>BW20/BW61</f>
        <v>0.35524805939925752</v>
      </c>
      <c r="BZ70" s="3">
        <f>BZ20/BZ61</f>
        <v>0.5298881604319321</v>
      </c>
      <c r="CC70" s="3">
        <f>CC20/CC61</f>
        <v>0.25670869705787264</v>
      </c>
      <c r="CE70" s="3">
        <f>CE20/CE61</f>
        <v>0.37906647807637905</v>
      </c>
      <c r="CH70" s="3">
        <f>CH20/CH61</f>
        <v>0.10156935482079589</v>
      </c>
      <c r="CJ70" s="3">
        <f>CJ20/CJ61</f>
        <v>0.26744882370913536</v>
      </c>
      <c r="CL70" s="23">
        <v>0.27</v>
      </c>
      <c r="CM70" s="20"/>
      <c r="CN70" s="3">
        <f>CN20/CN61</f>
        <v>5.966301748535574E-2</v>
      </c>
      <c r="CP70" s="3">
        <f>CP20/CP61</f>
        <v>9.3458434623724787E-2</v>
      </c>
      <c r="CR70" s="3">
        <f>CR20/CR61</f>
        <v>3.5267888907335815E-2</v>
      </c>
      <c r="CT70" s="3">
        <f>CT20/CT61</f>
        <v>3.5267888907335815E-2</v>
      </c>
      <c r="CV70" s="3">
        <f>CV20/CV61</f>
        <v>3.5267888907335815E-2</v>
      </c>
      <c r="CX70" s="3">
        <f>CX20/CX61</f>
        <v>3.5267888907335815E-2</v>
      </c>
      <c r="CZ70" s="3">
        <f>CZ20/CZ61</f>
        <v>3.5267888907335815E-2</v>
      </c>
      <c r="DB70" s="3">
        <f>DB20/DB61</f>
        <v>3.5267888907335815E-2</v>
      </c>
      <c r="DD70" s="3">
        <f>DD20/DD61</f>
        <v>3.5267888907335815E-2</v>
      </c>
      <c r="DF70" s="3">
        <f>DF20/DF61</f>
        <v>3.5267888907335815E-2</v>
      </c>
      <c r="DI70" s="3">
        <f>DI20/DI61</f>
        <v>2.0167470374939253E-2</v>
      </c>
      <c r="DK70" s="23">
        <v>0.27</v>
      </c>
      <c r="DL70" s="20"/>
      <c r="DM70" s="23">
        <v>0.27</v>
      </c>
      <c r="DN70" s="20"/>
      <c r="DP70" s="23">
        <v>0.27</v>
      </c>
      <c r="DQ70" s="20"/>
      <c r="DR70" s="23">
        <v>0.27</v>
      </c>
      <c r="DS70" s="20"/>
      <c r="DU70" s="23">
        <v>0.27</v>
      </c>
      <c r="DV70" s="20"/>
    </row>
    <row r="71" spans="1:126">
      <c r="A71" s="32" t="s">
        <v>110</v>
      </c>
      <c r="B71" s="3"/>
      <c r="D71" s="3"/>
      <c r="F71" s="3"/>
      <c r="I71" s="3"/>
      <c r="K71" s="3"/>
      <c r="N71" s="3"/>
      <c r="P71" s="3"/>
      <c r="R71" s="3"/>
      <c r="T71" s="3"/>
      <c r="V71" s="3"/>
      <c r="X71" s="3"/>
      <c r="AA71" s="3"/>
      <c r="AC71" s="3"/>
      <c r="AF71" s="3"/>
      <c r="AH71" s="3"/>
      <c r="AJ71" s="3"/>
      <c r="AL71" s="3"/>
      <c r="AO71" s="3"/>
      <c r="AQ71" s="3"/>
      <c r="AS71" s="3"/>
      <c r="AU71" s="3"/>
      <c r="AW71" s="3"/>
      <c r="AY71" s="3"/>
      <c r="BA71" s="3"/>
      <c r="BC71" s="3"/>
      <c r="BF71" s="3"/>
      <c r="BI71" s="3"/>
      <c r="BK71" s="3"/>
      <c r="BN71" s="3"/>
      <c r="BP71" s="3"/>
      <c r="BR71" s="3"/>
      <c r="BU71" s="3"/>
      <c r="BW71" s="3"/>
      <c r="BZ71" s="3"/>
      <c r="CC71" s="3"/>
      <c r="CE71" s="3"/>
      <c r="CH71" s="3"/>
      <c r="CJ71" s="3"/>
      <c r="CL71" s="23"/>
      <c r="CM71" s="20"/>
      <c r="CN71" s="3"/>
      <c r="CP71" s="3"/>
      <c r="CR71" s="3"/>
      <c r="CT71" s="3"/>
      <c r="CV71" s="3"/>
      <c r="CX71" s="3"/>
      <c r="CZ71" s="3"/>
      <c r="DB71" s="3"/>
      <c r="DD71" s="3"/>
      <c r="DF71" s="3"/>
      <c r="DI71" s="3"/>
      <c r="DK71" s="23"/>
      <c r="DL71" s="20"/>
      <c r="DM71" s="23"/>
      <c r="DN71" s="20"/>
      <c r="DP71" s="23"/>
      <c r="DQ71" s="20"/>
      <c r="DR71" s="23"/>
      <c r="DS71" s="20"/>
      <c r="DU71" s="23"/>
      <c r="DV71" s="20"/>
    </row>
    <row r="72" spans="1:126">
      <c r="A72" s="1" t="s">
        <v>31</v>
      </c>
      <c r="B72" s="9">
        <f>B42/B53</f>
        <v>2.0077450763443241</v>
      </c>
      <c r="D72" s="9">
        <f>D42/D53</f>
        <v>1.2394898066969473</v>
      </c>
      <c r="F72" s="9">
        <f>F42/F53</f>
        <v>1.5847076461769116</v>
      </c>
      <c r="I72" s="9">
        <f>I42/I53</f>
        <v>1.1583425240270995</v>
      </c>
      <c r="K72" s="9">
        <f>K42/K53</f>
        <v>0.5390625</v>
      </c>
      <c r="N72" s="9">
        <f>N42/N53</f>
        <v>1.850507614213198</v>
      </c>
      <c r="P72" s="9">
        <f>P42/P53</f>
        <v>1.7142652432471162</v>
      </c>
      <c r="R72" s="9">
        <f>R42/R53</f>
        <v>1.1133289464063756</v>
      </c>
      <c r="T72" s="9">
        <f>T42/T53</f>
        <v>1.1582979368932038</v>
      </c>
      <c r="V72" s="9">
        <f>V42/V53</f>
        <v>1.2668992586131704</v>
      </c>
      <c r="X72" s="9">
        <f>X42/X53</f>
        <v>1.7361403508771929</v>
      </c>
      <c r="AA72" s="9">
        <f>AA42/AA53</f>
        <v>1.4987303958177745</v>
      </c>
      <c r="AC72" s="9">
        <f>AC42/AC53</f>
        <v>1.6610316178167552</v>
      </c>
      <c r="AF72" s="9">
        <f>AF42/AF53</f>
        <v>0.74580450935178066</v>
      </c>
      <c r="AH72" s="9">
        <f>AH42/AH53</f>
        <v>1.2036113984764412</v>
      </c>
      <c r="AJ72" s="9">
        <f>AJ42/AJ53</f>
        <v>0.83350676378772115</v>
      </c>
      <c r="AL72" s="9">
        <f>AL42/AL53</f>
        <v>1.0041517979687071</v>
      </c>
      <c r="AO72" s="9">
        <f>AO42/AO53</f>
        <v>1.1081408565484998</v>
      </c>
      <c r="AQ72" s="9">
        <f>AQ42/AQ53</f>
        <v>1.3300005493599956</v>
      </c>
      <c r="AS72" s="9">
        <v>1.6</v>
      </c>
      <c r="AU72" s="9">
        <f>AU42/AU53</f>
        <v>1.1192660550458715</v>
      </c>
      <c r="AW72" s="9">
        <f>AW42/AW53</f>
        <v>1.1192660550458715</v>
      </c>
      <c r="AY72" s="9">
        <f>AY42/AY53</f>
        <v>1.1192660550458715</v>
      </c>
      <c r="BA72" s="9">
        <f>BA42/BA53</f>
        <v>1.7160553801311635</v>
      </c>
      <c r="BC72" s="9">
        <f>BC42/BC53</f>
        <v>1.3694443824363238</v>
      </c>
      <c r="BF72" s="9">
        <f>BF42/BF53</f>
        <v>0.729039744705541</v>
      </c>
      <c r="BI72" s="9">
        <f>BI42/BI53</f>
        <v>1.3745299145299146</v>
      </c>
      <c r="BK72" s="9">
        <f>BK42/BK53</f>
        <v>1.4185623293903549</v>
      </c>
      <c r="BN72" s="9">
        <f>BN42/BN53</f>
        <v>0.669247009148487</v>
      </c>
      <c r="BP72" s="9">
        <f>BP42/BP53</f>
        <v>1.0108780870246963</v>
      </c>
      <c r="BR72" s="9">
        <f>BR42/BR53</f>
        <v>1.5501443001443</v>
      </c>
      <c r="BU72" s="9">
        <f>BU42/BU53</f>
        <v>0.91338821885347998</v>
      </c>
      <c r="BW72" s="9">
        <f>BW42/BW53</f>
        <v>0.69738810263490969</v>
      </c>
      <c r="BZ72" s="9">
        <f>BZ42/BZ53</f>
        <v>1.1282240235814296</v>
      </c>
      <c r="CC72" s="9">
        <f>CC42/CC53</f>
        <v>1.9540727902946273</v>
      </c>
      <c r="CE72" s="9">
        <f>CE42/CE53</f>
        <v>2.2525722825774559</v>
      </c>
      <c r="CH72" s="9">
        <f>CH42/CH53</f>
        <v>1.0300608635543642</v>
      </c>
      <c r="CJ72" s="9">
        <f>CJ42/CJ53</f>
        <v>1.0715456863135349</v>
      </c>
      <c r="CL72" s="26">
        <v>1.07</v>
      </c>
      <c r="CM72" s="20"/>
      <c r="CN72" s="9">
        <f>CN42/CN53</f>
        <v>0.85436534315765933</v>
      </c>
      <c r="CP72" s="9">
        <f>CP42/CP53</f>
        <v>0.76704993645646169</v>
      </c>
      <c r="CR72" s="9">
        <f>CR42/CR53</f>
        <v>0.62859648921655187</v>
      </c>
      <c r="CT72" s="9">
        <f>CT42/CT53</f>
        <v>0.62859648921655187</v>
      </c>
      <c r="CV72" s="9">
        <f>CV42/CV53</f>
        <v>0.62859648921655187</v>
      </c>
      <c r="CX72" s="9">
        <f>CX42/CX53</f>
        <v>0.62859648921655187</v>
      </c>
      <c r="CZ72" s="9">
        <f>CZ42/CZ53</f>
        <v>0.62859648921655187</v>
      </c>
      <c r="DB72" s="9">
        <f>DB42/DB53</f>
        <v>0.62859648921655187</v>
      </c>
      <c r="DD72" s="9">
        <f>DD42/DD53</f>
        <v>0.62859648921655187</v>
      </c>
      <c r="DF72" s="9">
        <f>DF42/DF53</f>
        <v>0.62859648921655187</v>
      </c>
      <c r="DI72" s="9">
        <f>DI42/DI53</f>
        <v>1.4496129074230695</v>
      </c>
      <c r="DK72" s="26">
        <v>1.07</v>
      </c>
      <c r="DL72" s="20"/>
      <c r="DM72" s="26">
        <v>1.07</v>
      </c>
      <c r="DN72" s="20"/>
      <c r="DP72" s="26">
        <v>1.07</v>
      </c>
      <c r="DQ72" s="20"/>
      <c r="DR72" s="26">
        <v>1.07</v>
      </c>
      <c r="DS72" s="20"/>
      <c r="DU72" s="26">
        <v>1.07</v>
      </c>
      <c r="DV72" s="20"/>
    </row>
    <row r="73" spans="1:126">
      <c r="A73" s="1" t="s">
        <v>32</v>
      </c>
      <c r="B73" s="9">
        <f>(B42-B35)/B53</f>
        <v>1.1998229696835583</v>
      </c>
      <c r="D73" s="9">
        <f>(D42-D35)/D53</f>
        <v>0.82858878208513786</v>
      </c>
      <c r="F73" s="9">
        <f>(F42-F35)/F53</f>
        <v>1.2246476761619189</v>
      </c>
      <c r="I73" s="9">
        <f>(I42-I35)/I53</f>
        <v>1.1583425240270995</v>
      </c>
      <c r="K73" s="9">
        <f>(K42-K35)/K53</f>
        <v>0.53645833333333337</v>
      </c>
      <c r="N73" s="9">
        <f>(N42-N35)/N53</f>
        <v>1.4757614213197969</v>
      </c>
      <c r="P73" s="9">
        <f>(P42-P35)/P53</f>
        <v>1.2591531131331948</v>
      </c>
      <c r="R73" s="9">
        <f>(R42-R35)/R53</f>
        <v>0.82817869415807566</v>
      </c>
      <c r="T73" s="9">
        <f>(T42-T35)/T53</f>
        <v>0.88269872572815533</v>
      </c>
      <c r="V73" s="9">
        <f>(V42-V35)/V53</f>
        <v>1.1479658588249952</v>
      </c>
      <c r="X73" s="9">
        <f>(X42-X35)/X53</f>
        <v>1.3418369453044376</v>
      </c>
      <c r="AA73" s="9">
        <f>(AA42-AA35)/AA53</f>
        <v>1.0231516056758776</v>
      </c>
      <c r="AC73" s="9">
        <f>(AC42-AC35)/AC53</f>
        <v>1.0881029309946919</v>
      </c>
      <c r="AF73" s="9">
        <f>(AF42-AF35)/AF53</f>
        <v>0.73139251857545473</v>
      </c>
      <c r="AH73" s="9">
        <f>(AH42-AH35)/AH53</f>
        <v>1.1477475782939903</v>
      </c>
      <c r="AJ73" s="9">
        <f>(AJ42-AJ35)/AJ53</f>
        <v>0.81327783558792921</v>
      </c>
      <c r="AL73" s="9">
        <f>(AL42-AL35)/AL53</f>
        <v>0.9703541037606368</v>
      </c>
      <c r="AO73" s="9">
        <f>(AO42-AO35)/AO53</f>
        <v>0.78635613030517493</v>
      </c>
      <c r="AQ73" s="9">
        <f>(AQ42-AQ35)/AQ53</f>
        <v>0.92854199857166397</v>
      </c>
      <c r="AS73" s="9">
        <v>1.4</v>
      </c>
      <c r="AU73" s="9">
        <f>(AU42-AU35)/AU53</f>
        <v>0.96452599388379201</v>
      </c>
      <c r="AW73" s="9">
        <f>(AW42-AW35)/AW53</f>
        <v>0.96452599388379201</v>
      </c>
      <c r="AY73" s="9">
        <f>(AY42-AY35)/AY53</f>
        <v>0.96452599388379201</v>
      </c>
      <c r="BA73" s="9">
        <f>(BA42-BA35)/BA53</f>
        <v>1.6142822443526841</v>
      </c>
      <c r="BC73" s="9">
        <f>(BC42-BC35)/BC53</f>
        <v>1.0117641806370963</v>
      </c>
      <c r="BF73" s="9">
        <f>(BF42-BF35)/BF53</f>
        <v>0.66898752538439221</v>
      </c>
      <c r="BI73" s="9">
        <f>(BI42-BI35)/BI53</f>
        <v>0.64068376068376065</v>
      </c>
      <c r="BK73" s="9">
        <f>(BK42-BK35)/BK53</f>
        <v>1.0911434637549287</v>
      </c>
      <c r="BN73" s="9">
        <f>(BN42-BN35)/BN53</f>
        <v>0.53143326296035653</v>
      </c>
      <c r="BP73" s="9">
        <f>(BP42-BP35)/BP53</f>
        <v>0.88837710701685613</v>
      </c>
      <c r="BR73" s="9">
        <f>(BR42-BR35)/BR53</f>
        <v>0.78860028860028863</v>
      </c>
      <c r="BU73" s="9">
        <f>(BU42-BU35)/BU53</f>
        <v>0.65874775951635933</v>
      </c>
      <c r="BW73" s="9">
        <f>(BW42-BW35)/BW53</f>
        <v>0.47088942584282589</v>
      </c>
      <c r="BZ73" s="9">
        <f>(BZ42-BZ35)/BZ53</f>
        <v>0.63375092114959475</v>
      </c>
      <c r="CC73" s="9">
        <f>(CC42-CC35)/CC53</f>
        <v>1.4696707105719238</v>
      </c>
      <c r="CE73" s="9">
        <f>(CE42-CE35)/CE53</f>
        <v>1.292924067367937</v>
      </c>
      <c r="CH73" s="9">
        <f>(CH42-CH35)/CH53</f>
        <v>0.78852022322256499</v>
      </c>
      <c r="CJ73" s="9">
        <f>(CJ42-CJ35)/CJ53</f>
        <v>0.79978770388482934</v>
      </c>
      <c r="CL73" s="26">
        <v>0.8</v>
      </c>
      <c r="CM73" s="20"/>
      <c r="CN73" s="9">
        <f>(CN42-CN35)/CN53</f>
        <v>0.85436534315765933</v>
      </c>
      <c r="CP73" s="9">
        <f>(CP42-CP35)/CP53</f>
        <v>0.76704993645646169</v>
      </c>
      <c r="CR73" s="9">
        <f>(CR42-CR35)/CR53</f>
        <v>0.62859648921655187</v>
      </c>
      <c r="CT73" s="9">
        <f>(CT42-CT35)/CT53</f>
        <v>0.62859648921655187</v>
      </c>
      <c r="CV73" s="9">
        <f>(CV42-CV35)/CV53</f>
        <v>0.62859648921655187</v>
      </c>
      <c r="CX73" s="9">
        <f>(CX42-CX35)/CX53</f>
        <v>0.62859648921655187</v>
      </c>
      <c r="CZ73" s="9">
        <f>(CZ42-CZ35)/CZ53</f>
        <v>0.62859648921655187</v>
      </c>
      <c r="DB73" s="9">
        <f>(DB42-DB35)/DB53</f>
        <v>0.62859648921655187</v>
      </c>
      <c r="DD73" s="9">
        <f>(DD42-DD35)/DD53</f>
        <v>0.62859648921655187</v>
      </c>
      <c r="DF73" s="9">
        <f>(DF42-DF35)/DF53</f>
        <v>0.62859648921655187</v>
      </c>
      <c r="DI73" s="9">
        <f>(DI42-DI35)/DI53</f>
        <v>1.0763775941708411</v>
      </c>
      <c r="DK73" s="26">
        <v>0.8</v>
      </c>
      <c r="DL73" s="20"/>
      <c r="DM73" s="26">
        <v>0.8</v>
      </c>
      <c r="DN73" s="20"/>
      <c r="DP73" s="26">
        <v>0.8</v>
      </c>
      <c r="DQ73" s="20"/>
      <c r="DR73" s="26">
        <v>0.8</v>
      </c>
      <c r="DS73" s="20"/>
      <c r="DU73" s="26">
        <v>0.8</v>
      </c>
      <c r="DV73" s="20"/>
    </row>
    <row r="74" spans="1:126">
      <c r="A74" s="32" t="s">
        <v>111</v>
      </c>
      <c r="B74" s="9"/>
      <c r="D74" s="9"/>
      <c r="F74" s="9"/>
      <c r="I74" s="9"/>
      <c r="K74" s="9"/>
      <c r="N74" s="9"/>
      <c r="P74" s="9"/>
      <c r="R74" s="9"/>
      <c r="T74" s="9"/>
      <c r="V74" s="9"/>
      <c r="X74" s="9"/>
      <c r="AA74" s="9"/>
      <c r="AC74" s="9"/>
      <c r="AF74" s="9"/>
      <c r="AH74" s="9"/>
      <c r="AJ74" s="9"/>
      <c r="AL74" s="9"/>
      <c r="AO74" s="9"/>
      <c r="AQ74" s="9"/>
      <c r="AS74" s="9"/>
      <c r="AU74" s="9"/>
      <c r="AW74" s="9"/>
      <c r="AY74" s="9"/>
      <c r="BA74" s="9"/>
      <c r="BC74" s="9"/>
      <c r="BF74" s="9"/>
      <c r="BI74" s="9"/>
      <c r="BK74" s="9"/>
      <c r="BN74" s="9"/>
      <c r="BP74" s="9"/>
      <c r="BR74" s="9"/>
      <c r="BU74" s="9"/>
      <c r="BW74" s="9"/>
      <c r="BZ74" s="9"/>
      <c r="CC74" s="9"/>
      <c r="CE74" s="9"/>
      <c r="CH74" s="9"/>
      <c r="CJ74" s="9"/>
      <c r="CL74" s="26"/>
      <c r="CM74" s="20"/>
      <c r="CN74" s="9"/>
      <c r="CP74" s="9"/>
      <c r="CR74" s="9"/>
      <c r="CT74" s="9"/>
      <c r="CV74" s="9"/>
      <c r="CX74" s="9"/>
      <c r="CZ74" s="9"/>
      <c r="DB74" s="9"/>
      <c r="DD74" s="9"/>
      <c r="DF74" s="9"/>
      <c r="DI74" s="9"/>
      <c r="DK74" s="26"/>
      <c r="DL74" s="20"/>
      <c r="DM74" s="26"/>
      <c r="DN74" s="20"/>
      <c r="DP74" s="26"/>
      <c r="DQ74" s="20"/>
      <c r="DR74" s="26"/>
      <c r="DS74" s="20"/>
      <c r="DU74" s="26"/>
      <c r="DV74" s="20"/>
    </row>
    <row r="75" spans="1:126">
      <c r="A75" s="1" t="s">
        <v>34</v>
      </c>
      <c r="B75" s="9">
        <f>B5/B33</f>
        <v>1.5051982771424328</v>
      </c>
      <c r="D75" s="9">
        <f>D5/D33</f>
        <v>1.3796978126875035</v>
      </c>
      <c r="F75" s="9">
        <f>F5/F43</f>
        <v>0.8706724367509987</v>
      </c>
      <c r="I75" s="9">
        <f>I5/I33</f>
        <v>0.85173741262283453</v>
      </c>
      <c r="K75" s="9">
        <f>K5/K33</f>
        <v>0.77477477477477474</v>
      </c>
      <c r="N75" s="9">
        <f>N5/N43</f>
        <v>0.75248926279215667</v>
      </c>
      <c r="P75" s="9">
        <f>P5/P43</f>
        <v>0.34300733878103368</v>
      </c>
      <c r="R75" s="9">
        <f>R5/R43</f>
        <v>0.62978187520790763</v>
      </c>
      <c r="T75" s="9">
        <f>T5/T43</f>
        <v>0.45875774232895594</v>
      </c>
      <c r="V75" s="9">
        <f>V5/V43</f>
        <v>0.45995456090448844</v>
      </c>
      <c r="X75" s="9">
        <f>X5/X43</f>
        <v>1.1881655458720162</v>
      </c>
      <c r="AA75" s="9">
        <f>AA5/AA43</f>
        <v>0.69227707760826307</v>
      </c>
      <c r="AC75" s="9">
        <f>AC5/AC43</f>
        <v>1.2238873256952758</v>
      </c>
      <c r="AF75" s="9">
        <f>AF5/AF43</f>
        <v>0.31146196863305725</v>
      </c>
      <c r="AH75" s="9">
        <f>AH5/AH33</f>
        <v>0.62085681100434842</v>
      </c>
      <c r="AJ75" s="9">
        <f>AJ5/AJ43</f>
        <v>0.33255717315297761</v>
      </c>
      <c r="AL75" s="9">
        <f>AL5/AL43</f>
        <v>0.48006091097238812</v>
      </c>
      <c r="AO75" s="9">
        <f>AO5/AO43</f>
        <v>1.26215343820627</v>
      </c>
      <c r="AQ75" s="9">
        <f>AQ5/AQ43</f>
        <v>1.2402630115476463</v>
      </c>
      <c r="AS75" s="9">
        <v>1.4</v>
      </c>
      <c r="AU75" s="9">
        <f>AU5/AU43</f>
        <v>0.89966853646098932</v>
      </c>
      <c r="AW75" s="9">
        <f>AW5/AW43</f>
        <v>0.89966853646098932</v>
      </c>
      <c r="AY75" s="9">
        <f>AY5/AY43</f>
        <v>0.89966853646098932</v>
      </c>
      <c r="BA75" s="9">
        <f>BA5/BA43</f>
        <v>0.29090247673325853</v>
      </c>
      <c r="BC75" s="9">
        <f>BC5/BC43</f>
        <v>0.9894173184776156</v>
      </c>
      <c r="BF75" s="9">
        <f>BF5/BF33</f>
        <v>1.2232124772128823</v>
      </c>
      <c r="BI75" s="9">
        <f>BI5/BI43</f>
        <v>0.5235657578043611</v>
      </c>
      <c r="BK75" s="9">
        <f>BK5/BK43</f>
        <v>0.73410441561761131</v>
      </c>
      <c r="BN75" s="9">
        <f>BN5/BN43</f>
        <v>0.41235300387252638</v>
      </c>
      <c r="BP75" s="9">
        <f>BP5/BP43</f>
        <v>0.32423483742588954</v>
      </c>
      <c r="BR75" s="9">
        <f>BR5/BR43</f>
        <v>0.45591577939944972</v>
      </c>
      <c r="BU75" s="9">
        <f>BU5/BU43</f>
        <v>0.76516497567293806</v>
      </c>
      <c r="BW75" s="9">
        <f>BW5/BW43</f>
        <v>1.094126952738778</v>
      </c>
      <c r="BZ75" s="9">
        <f>BZ5/BZ43</f>
        <v>0.5558605042631829</v>
      </c>
      <c r="CC75" s="9">
        <f>CC5/CC43</f>
        <v>1.2157603954637977</v>
      </c>
      <c r="CE75" s="9">
        <f>CE5/CE43</f>
        <v>1.9575187283025763</v>
      </c>
      <c r="CH75" s="9">
        <f>CH5/CH33</f>
        <v>0.97460188680178683</v>
      </c>
      <c r="CJ75" s="9">
        <f>CJ5/CJ43</f>
        <v>0.63454571801188231</v>
      </c>
      <c r="CL75" s="26">
        <v>0.63</v>
      </c>
      <c r="CM75" s="20"/>
      <c r="CN75" s="9">
        <f>CN5/CN43</f>
        <v>3.1943071094470428E-2</v>
      </c>
      <c r="CP75" s="9">
        <f>CP5/CP43</f>
        <v>2.6640407469271724E-2</v>
      </c>
      <c r="CR75" s="9">
        <f>CR5/CR43</f>
        <v>6.4818986348757268E-2</v>
      </c>
      <c r="CT75" s="9">
        <f>CT5/CT43</f>
        <v>6.4818986348757268E-2</v>
      </c>
      <c r="CV75" s="9">
        <f>CV5/CV43</f>
        <v>6.4818986348757268E-2</v>
      </c>
      <c r="CX75" s="9">
        <f>CX5/CX43</f>
        <v>6.4818986348757268E-2</v>
      </c>
      <c r="CZ75" s="9">
        <f>CZ5/CZ43</f>
        <v>6.4818986348757268E-2</v>
      </c>
      <c r="DB75" s="9">
        <f>DB5/DB43</f>
        <v>6.4818986348757268E-2</v>
      </c>
      <c r="DD75" s="9">
        <f>DD5/DD43</f>
        <v>6.4818986348757268E-2</v>
      </c>
      <c r="DF75" s="9">
        <f>DF5/DF43</f>
        <v>6.4818986348757268E-2</v>
      </c>
      <c r="DI75" s="9">
        <f>DI5/DI43</f>
        <v>0.46089619455077685</v>
      </c>
      <c r="DK75" s="26">
        <v>0.63</v>
      </c>
      <c r="DL75" s="20"/>
      <c r="DM75" s="26">
        <v>0.63</v>
      </c>
      <c r="DN75" s="20"/>
      <c r="DP75" s="26">
        <v>0.63</v>
      </c>
      <c r="DQ75" s="20"/>
      <c r="DR75" s="26">
        <v>0.63</v>
      </c>
      <c r="DS75" s="20"/>
      <c r="DU75" s="26">
        <v>0.63</v>
      </c>
      <c r="DV75" s="20"/>
    </row>
    <row r="76" spans="1:126">
      <c r="A76" s="1" t="s">
        <v>113</v>
      </c>
      <c r="B76" s="49">
        <f>B35/B8*365*-1</f>
        <v>163.27064444988974</v>
      </c>
      <c r="D76" s="49">
        <f>D35/D8*365*-1</f>
        <v>103.16240713494268</v>
      </c>
      <c r="F76" s="33">
        <f>F35/F8*365</f>
        <v>-73.400991425509105</v>
      </c>
      <c r="I76" s="33">
        <f>I35/I8*365</f>
        <v>0</v>
      </c>
      <c r="K76" s="9"/>
      <c r="N76" s="9"/>
      <c r="P76" s="9"/>
      <c r="R76" s="9"/>
      <c r="T76" s="49">
        <f>T35/T8*365*-1</f>
        <v>135.27412280701753</v>
      </c>
      <c r="V76" s="9"/>
      <c r="X76" s="9"/>
      <c r="AA76" s="9"/>
      <c r="AC76" s="9"/>
      <c r="AF76" s="49">
        <f>AF35/AF8*365*-1</f>
        <v>5.3843632191444026</v>
      </c>
      <c r="AH76" s="9"/>
      <c r="AJ76" s="9"/>
      <c r="AL76" s="49"/>
      <c r="AO76" s="49">
        <f>AO35/AO8*365*-1</f>
        <v>30.944018012775057</v>
      </c>
      <c r="AQ76" s="49">
        <f>AQ35/AQ8*365*-1</f>
        <v>35.760949351602648</v>
      </c>
      <c r="AS76" s="49">
        <v>32</v>
      </c>
      <c r="AU76" s="9"/>
      <c r="AW76" s="9"/>
      <c r="AY76" s="9"/>
      <c r="BA76" s="49">
        <f>BA35/BA8*365*-1</f>
        <v>101.4157824933687</v>
      </c>
      <c r="BC76" s="49">
        <f>BC35/BC8*365*-1</f>
        <v>47.747067035685419</v>
      </c>
      <c r="BF76" s="9"/>
      <c r="BI76" s="49">
        <f>BI35/BI8*365*-1</f>
        <v>311.67478866235706</v>
      </c>
      <c r="BK76" s="49">
        <f>BK35/BK8*365*-1</f>
        <v>119.36307179642532</v>
      </c>
      <c r="BN76" s="9"/>
      <c r="BP76" s="9"/>
      <c r="BR76" s="9"/>
      <c r="BU76" s="49">
        <f>BU35/BU8*365*-1</f>
        <v>63.5910706491239</v>
      </c>
      <c r="BW76" s="49">
        <f>BW35/BW8*365*-1</f>
        <v>49.136775517182421</v>
      </c>
      <c r="BZ76" s="9"/>
      <c r="CC76" s="49">
        <f>CC35/CC8*365*-1</f>
        <v>90.002205558006168</v>
      </c>
      <c r="CE76" s="49">
        <f>CE35/CE8*365*-1</f>
        <v>116.00592053913077</v>
      </c>
      <c r="CH76" s="49">
        <f>CH35/CH8*365*-1</f>
        <v>64.794866393650835</v>
      </c>
      <c r="CJ76" s="9"/>
      <c r="CL76" s="49">
        <f>CL35/CL8*365*-1</f>
        <v>57.556676098973419</v>
      </c>
      <c r="CM76" s="20"/>
      <c r="CN76" s="49">
        <f>CN35/CN8*365*-1</f>
        <v>0</v>
      </c>
      <c r="CP76" s="49">
        <f>CP35/CP8*365*-1</f>
        <v>0</v>
      </c>
      <c r="CR76" s="9"/>
      <c r="CT76" s="9"/>
      <c r="CV76" s="9"/>
      <c r="CX76" s="9"/>
      <c r="CZ76" s="9"/>
      <c r="DB76" s="9"/>
      <c r="DD76" s="9"/>
      <c r="DF76" s="9"/>
      <c r="DI76" s="49">
        <f>DI35/DI8*365*-1</f>
        <v>221.84606420171627</v>
      </c>
      <c r="DK76" s="26"/>
      <c r="DL76" s="20"/>
      <c r="DM76" s="26"/>
      <c r="DN76" s="20"/>
      <c r="DP76" s="26"/>
      <c r="DQ76" s="20"/>
      <c r="DR76" s="26"/>
      <c r="DS76" s="20"/>
      <c r="DU76" s="26"/>
      <c r="DV76" s="20"/>
    </row>
    <row r="77" spans="1:126">
      <c r="A77" s="1" t="s">
        <v>33</v>
      </c>
      <c r="B77" s="9">
        <f>B5/B35</f>
        <v>2.7758148452478775</v>
      </c>
      <c r="D77" s="48">
        <f>D8/D35*-1</f>
        <v>3.5381105398457584</v>
      </c>
      <c r="F77" s="9">
        <f>F5/F35</f>
        <v>6.9700199866755499</v>
      </c>
      <c r="I77" s="9" t="e">
        <f>I5/I35</f>
        <v>#DIV/0!</v>
      </c>
      <c r="K77" s="9">
        <f>K5/K35</f>
        <v>688</v>
      </c>
      <c r="N77" s="9">
        <f>N5/N35</f>
        <v>7.9207585506264815</v>
      </c>
      <c r="P77" s="9">
        <f>P5/P35</f>
        <v>5.1875</v>
      </c>
      <c r="R77" s="9">
        <f>R5/R35</f>
        <v>6.796153846153846</v>
      </c>
      <c r="T77" s="9">
        <f>T5/T35</f>
        <v>7.9702765928168429</v>
      </c>
      <c r="V77" s="9">
        <f>V5/V35</f>
        <v>13.468308014667365</v>
      </c>
      <c r="X77" s="9">
        <f>X5/X35</f>
        <v>8.749162479061976</v>
      </c>
      <c r="AA77" s="9">
        <f>AA5/AA35</f>
        <v>5.7361809045226133</v>
      </c>
      <c r="AC77" s="9">
        <f>AC5/AC35</f>
        <v>7.9283987915407854</v>
      </c>
      <c r="AF77" s="9">
        <f>AF5/AF35</f>
        <v>98.766666666666666</v>
      </c>
      <c r="AH77" s="9">
        <f>AH5/AH35</f>
        <v>54.443602693602692</v>
      </c>
      <c r="AJ77" s="9">
        <f>AJ5/AJ35</f>
        <v>95.508230452674894</v>
      </c>
      <c r="AL77" s="9">
        <f>AL5/AL35</f>
        <v>57.929949238578679</v>
      </c>
      <c r="AO77" s="9">
        <f>AO5/AO35</f>
        <v>15.036655669965677</v>
      </c>
      <c r="AQ77" s="9">
        <f>AQ5/AQ35</f>
        <v>12.970339707844412</v>
      </c>
      <c r="AS77" s="9">
        <v>11.4</v>
      </c>
      <c r="AU77" s="9">
        <f>AU5/AU35</f>
        <v>27.893280632411066</v>
      </c>
      <c r="AW77" s="9">
        <f>AW5/AW35</f>
        <v>27.893280632411066</v>
      </c>
      <c r="AY77" s="9">
        <f>AY5/AY35</f>
        <v>27.893280632411066</v>
      </c>
      <c r="BA77" s="9">
        <f>BA5/BA35</f>
        <v>22.902147971360382</v>
      </c>
      <c r="BC77" s="9">
        <f>BC5/BC35</f>
        <v>10.713037508581413</v>
      </c>
      <c r="BF77" s="9">
        <f>BF5/BF35</f>
        <v>43.760869565217391</v>
      </c>
      <c r="BI77" s="9">
        <f>BI5/BI35</f>
        <v>3.3949452597251337</v>
      </c>
      <c r="BK77" s="9">
        <f>BK5/BK35</f>
        <v>10.641963872163039</v>
      </c>
      <c r="BN77" s="9">
        <f>BN5/BN35</f>
        <v>19.755744680851063</v>
      </c>
      <c r="BP77" s="9">
        <f>BP5/BP35</f>
        <v>15.9032</v>
      </c>
      <c r="BR77" s="9">
        <f>BR5/BR35</f>
        <v>2.7079583135954524</v>
      </c>
      <c r="BU77" s="9">
        <f>BU5/BU35</f>
        <v>10.994750656167978</v>
      </c>
      <c r="BW77" s="9">
        <f>BW5/BW35</f>
        <v>12.648463296926593</v>
      </c>
      <c r="BZ77" s="9">
        <f>BZ5/BZ35</f>
        <v>3.7729756582215597</v>
      </c>
      <c r="CC77" s="9">
        <f>CC5/CC35</f>
        <v>9.972570065593322</v>
      </c>
      <c r="CE77" s="9">
        <f>CE5/CE35</f>
        <v>7.7006289308176097</v>
      </c>
      <c r="CH77" s="9">
        <f>CH5/CH35</f>
        <v>6.8756151188357242</v>
      </c>
      <c r="CJ77" s="9">
        <f>CJ5/CJ35</f>
        <v>6.7195368626630394</v>
      </c>
      <c r="CL77" s="26">
        <v>6.72</v>
      </c>
      <c r="CM77" s="20"/>
      <c r="CN77" s="9"/>
      <c r="CP77" s="9"/>
      <c r="CR77" s="9" t="e">
        <f>CR5/CR35</f>
        <v>#DIV/0!</v>
      </c>
      <c r="CT77" s="9" t="e">
        <f>CT5/CT35</f>
        <v>#DIV/0!</v>
      </c>
      <c r="CV77" s="9" t="e">
        <f>CV5/CV35</f>
        <v>#DIV/0!</v>
      </c>
      <c r="CX77" s="9" t="e">
        <f>CX5/CX35</f>
        <v>#DIV/0!</v>
      </c>
      <c r="CZ77" s="9" t="e">
        <f>CZ5/CZ35</f>
        <v>#DIV/0!</v>
      </c>
      <c r="DB77" s="9" t="e">
        <f>DB5/DB35</f>
        <v>#DIV/0!</v>
      </c>
      <c r="DD77" s="9" t="e">
        <f>DD5/DD35</f>
        <v>#DIV/0!</v>
      </c>
      <c r="DF77" s="9" t="e">
        <f>DF5/DF35</f>
        <v>#DIV/0!</v>
      </c>
      <c r="DI77" s="9">
        <f>DI5/DI35</f>
        <v>8.9194701063273492</v>
      </c>
      <c r="DK77" s="26">
        <v>6.72</v>
      </c>
      <c r="DL77" s="20"/>
      <c r="DM77" s="26">
        <v>6.72</v>
      </c>
      <c r="DN77" s="20"/>
      <c r="DP77" s="26">
        <v>6.72</v>
      </c>
      <c r="DQ77" s="20"/>
      <c r="DR77" s="26">
        <v>6.72</v>
      </c>
      <c r="DS77" s="20"/>
      <c r="DU77" s="26">
        <v>6.72</v>
      </c>
      <c r="DV77" s="20"/>
    </row>
    <row r="78" spans="1:126">
      <c r="A78" s="1" t="s">
        <v>112</v>
      </c>
      <c r="B78" s="1">
        <f>B36/(B5/365)</f>
        <v>95.171197395036756</v>
      </c>
      <c r="D78" s="17">
        <f>(D36/120*100)/(D5/365)</f>
        <v>59.537011412456181</v>
      </c>
      <c r="F78" s="17">
        <f>(F36/120*100)/(F5/365)</f>
        <v>88.281598483400231</v>
      </c>
      <c r="I78" s="17">
        <f>(I36/120*100)/(I5/365)</f>
        <v>69.914015264149086</v>
      </c>
      <c r="K78" s="1">
        <f>K36/(K5/365)</f>
        <v>82.496366279069761</v>
      </c>
      <c r="N78" s="17">
        <f>(N36/120*100)/(N5/365)</f>
        <v>57.270200940572906</v>
      </c>
      <c r="P78" s="17">
        <f>(P36/120*100)/(P5/365)</f>
        <v>63.056128797305092</v>
      </c>
      <c r="R78" s="17">
        <f>(R36/120*100)/(R5/365)</f>
        <v>62.45142425957367</v>
      </c>
      <c r="T78" s="17">
        <f>(T36/120*100)/(T5/365)</f>
        <v>52.000316528545113</v>
      </c>
      <c r="V78" s="17">
        <f>(V36/120*100)/(V5/365)</f>
        <v>93.210266682224201</v>
      </c>
      <c r="X78" s="17">
        <f>(X36/120*100)/(X5/365)</f>
        <v>39.69685819812058</v>
      </c>
      <c r="AA78" s="17">
        <f>(AA36/120*100)/(AA5/365)</f>
        <v>58.796562454372904</v>
      </c>
      <c r="AC78" s="17">
        <f>(AC36/120*100)/(AC5/365)</f>
        <v>39.167799243819523</v>
      </c>
      <c r="AF78" s="17">
        <f>(AF36/120*100)/(AF5/365)</f>
        <v>64.412569842876962</v>
      </c>
      <c r="AH78" s="1">
        <f>AH36/(AH5/365)</f>
        <v>60.444889376768344</v>
      </c>
      <c r="AJ78" s="17">
        <f>(AJ36/120*100)/(AJ5/365)</f>
        <v>70.404521331983261</v>
      </c>
      <c r="AL78" s="17">
        <f>(AL36/120*100)/(AL5/365)</f>
        <v>51.386527867837337</v>
      </c>
      <c r="AO78" s="17">
        <f>(AO36/120*100)/(AO5/365)</f>
        <v>42.896846063211704</v>
      </c>
      <c r="AQ78" s="17">
        <f>(AQ36/120*100)/(AQ5/365)</f>
        <v>31.954925145594192</v>
      </c>
      <c r="AS78" s="17">
        <v>91</v>
      </c>
      <c r="AU78" s="17">
        <f>(AU36/120*100)/(AU5/365)</f>
        <v>31.895045108875347</v>
      </c>
      <c r="AW78" s="17">
        <f>(AW36/120*100)/(AW5/365)</f>
        <v>31.895045108875347</v>
      </c>
      <c r="AY78" s="17">
        <f>(AY36/120*100)/(AY5/365)</f>
        <v>31.895045108875347</v>
      </c>
      <c r="BA78" s="17">
        <f>(BA36/120*100)/(BA5/365)</f>
        <v>109.35546060858691</v>
      </c>
      <c r="BC78" s="17">
        <f>(BC36/120*100)/(BC5/365)</f>
        <v>30.095055003738118</v>
      </c>
      <c r="BF78" s="1">
        <f>BF36/(BF5/365)</f>
        <v>23.148700115913229</v>
      </c>
      <c r="BI78" s="17">
        <f>(BI36/120*100)/(BI5/365)</f>
        <v>22.841978569876613</v>
      </c>
      <c r="BK78" s="17">
        <f>(BK36/120*100)/(BK5/365)</f>
        <v>43.064683437790165</v>
      </c>
      <c r="BN78" s="17">
        <f>(BN36/120*100)/(BN5/365)</f>
        <v>27.084500064618968</v>
      </c>
      <c r="BP78" s="17">
        <f>(BP36/120*100)/(BP5/365)</f>
        <v>1.4918381206298104</v>
      </c>
      <c r="BR78" s="17">
        <f>(BR36/120*100)/(BR5/365)</f>
        <v>66.085017055890845</v>
      </c>
      <c r="BU78" s="17">
        <f>(BU36/120*100)/(BU5/365)</f>
        <v>40.28579540933324</v>
      </c>
      <c r="BW78" s="17">
        <f>(BW36/120*100)/(BW5/365)</f>
        <v>29.508387386120987</v>
      </c>
      <c r="BZ78" s="17">
        <f>(BZ36/120*100)/(BZ5/365)</f>
        <v>54.886164143076584</v>
      </c>
      <c r="CC78" s="17">
        <f>(CC36/120*100)/(CC5/365)</f>
        <v>14.822759706609265</v>
      </c>
      <c r="CE78" s="17">
        <f>(CE36/120*100)/(CE5/365)</f>
        <v>7.3508955471549386</v>
      </c>
      <c r="CH78" s="1">
        <f>CH36/(CH5/365)</f>
        <v>20.626399061962267</v>
      </c>
      <c r="CJ78" s="17">
        <f>(CJ36/120*100)/(CJ5/365)</f>
        <v>74.213597784190384</v>
      </c>
      <c r="CL78" s="27">
        <v>74</v>
      </c>
      <c r="CM78" s="20"/>
      <c r="CN78" s="17">
        <f>(CN36/120*100)/(CN5/365)</f>
        <v>0</v>
      </c>
      <c r="CP78" s="17">
        <f>(CP36/120*100)/(CP5/365)</f>
        <v>0</v>
      </c>
      <c r="CR78" s="17">
        <f>(CR36/120*100)/(CR5/365)</f>
        <v>0</v>
      </c>
      <c r="CT78" s="17">
        <f>(CT36/120*100)/(CT5/365)</f>
        <v>0</v>
      </c>
      <c r="CV78" s="17">
        <f>(CV36/120*100)/(CV5/365)</f>
        <v>0</v>
      </c>
      <c r="CX78" s="17">
        <f>(CX36/120*100)/(CX5/365)</f>
        <v>0</v>
      </c>
      <c r="CZ78" s="17">
        <f>(CZ36/120*100)/(CZ5/365)</f>
        <v>0</v>
      </c>
      <c r="DB78" s="17">
        <f>(DB36/120*100)/(DB5/365)</f>
        <v>0</v>
      </c>
      <c r="DD78" s="17">
        <f>(DD36/120*100)/(DD5/365)</f>
        <v>0</v>
      </c>
      <c r="DF78" s="17">
        <f>(DF36/120*100)/(DF5/365)</f>
        <v>0</v>
      </c>
      <c r="DI78" s="17">
        <f>(DI36/120*100)/(DI5/365)</f>
        <v>27.741217356184816</v>
      </c>
      <c r="DK78" s="27">
        <v>74</v>
      </c>
      <c r="DL78" s="20"/>
      <c r="DM78" s="27">
        <v>74</v>
      </c>
      <c r="DN78" s="20"/>
      <c r="DP78" s="27">
        <v>74</v>
      </c>
      <c r="DQ78" s="20"/>
      <c r="DR78" s="27">
        <v>74</v>
      </c>
      <c r="DS78" s="20"/>
      <c r="DU78" s="27">
        <v>74</v>
      </c>
      <c r="DV78" s="20"/>
    </row>
    <row r="79" spans="1:126">
      <c r="A79" s="1" t="s">
        <v>114</v>
      </c>
      <c r="B79" s="1">
        <f>D47/D8*365*-1</f>
        <v>50.381178137431199</v>
      </c>
      <c r="D79" s="1">
        <f>F47/F8*365*-1</f>
        <v>62.495980707395503</v>
      </c>
      <c r="F79" s="1">
        <f>F47/F8*365</f>
        <v>-62.495980707395503</v>
      </c>
      <c r="I79" s="1">
        <f>I47/I8*365</f>
        <v>-62.062412482496498</v>
      </c>
      <c r="N79" s="1">
        <f>N47/N8*365</f>
        <v>-66.047037161031128</v>
      </c>
      <c r="P79" s="1">
        <f>P47/P8*365</f>
        <v>-99.735668789808912</v>
      </c>
      <c r="R79" s="1">
        <f>R47/R8*365</f>
        <v>-353.60570762958645</v>
      </c>
      <c r="T79" s="1">
        <f>T47/T8*365*-1</f>
        <v>114.44410444716443</v>
      </c>
      <c r="V79" s="1">
        <f>V47/V8*365</f>
        <v>-718.89944877399739</v>
      </c>
      <c r="X79" s="1">
        <f>X47/X8*365</f>
        <v>-105.62800565770863</v>
      </c>
      <c r="AA79" s="1">
        <f>AA47/AA8*365</f>
        <v>-76.736300417246184</v>
      </c>
      <c r="AC79" s="1">
        <f>AC47/AC8*365</f>
        <v>-29.54120850711799</v>
      </c>
      <c r="AF79" s="1">
        <f>AF47/AF8*365*-1</f>
        <v>193.81314538600228</v>
      </c>
      <c r="AJ79" s="1">
        <f>AJ47/AJ8*365</f>
        <v>-176.28669244912192</v>
      </c>
      <c r="AO79" s="1">
        <f>AO47/AO8*365*-1</f>
        <v>72.296544067169336</v>
      </c>
      <c r="AQ79" s="1">
        <f>AQ47/AQ8*365*-1</f>
        <v>57.693907511622221</v>
      </c>
      <c r="AS79" s="1">
        <v>95.4</v>
      </c>
      <c r="AU79" s="1" t="e">
        <f>AU47/AU8*365</f>
        <v>#DIV/0!</v>
      </c>
      <c r="AW79" s="1" t="e">
        <f>AW47/AW8*365</f>
        <v>#DIV/0!</v>
      </c>
      <c r="AY79" s="1" t="e">
        <f>AY47/AY8*365</f>
        <v>#DIV/0!</v>
      </c>
      <c r="BA79" s="1">
        <f>BA47/BA8*365*-1</f>
        <v>681.47049071618039</v>
      </c>
      <c r="BC79" s="1">
        <f>BC47/BC8*365*-1</f>
        <v>65.432821442275511</v>
      </c>
      <c r="BI79" s="1">
        <f>BI47/BI8*365*-1</f>
        <v>120.08155146693187</v>
      </c>
      <c r="BK79" s="1">
        <f>BK47/BK8*365*-1</f>
        <v>184.98788245986063</v>
      </c>
      <c r="BN79" s="1">
        <f>BN47/BN8*365</f>
        <v>-289.7997223874678</v>
      </c>
      <c r="BP79" s="1">
        <f>BP47/BP8*365</f>
        <v>-317.2417462151152</v>
      </c>
      <c r="BR79" s="1">
        <f>BR47/BR8*365</f>
        <v>-263.74720357941834</v>
      </c>
      <c r="BU79" s="1">
        <f>BU47/BU8*365*-1</f>
        <v>121.93219845773316</v>
      </c>
      <c r="BW79" s="1">
        <f>BW47/BW8*365*-1</f>
        <v>146.46178833988716</v>
      </c>
      <c r="BZ79" s="1">
        <f>BZ47/BZ8*365</f>
        <v>-642.16636473429946</v>
      </c>
      <c r="CC79" s="1">
        <f>CC47/CC8*365*-1</f>
        <v>178.82370239670638</v>
      </c>
      <c r="CE79" s="1">
        <f>CE47/CE8*365*-1</f>
        <v>33.839402996440064</v>
      </c>
      <c r="CH79" s="1">
        <f>CH47/CH8*365*-1</f>
        <v>40.758827064501538</v>
      </c>
      <c r="CJ79" s="1">
        <f>CJ47/CJ8*365</f>
        <v>-40.013331809697938</v>
      </c>
      <c r="CL79" s="1">
        <v>172.6</v>
      </c>
      <c r="CN79" s="1">
        <f>CN47/CN8*365*-1</f>
        <v>0</v>
      </c>
      <c r="CP79" s="1">
        <f>CP47/CP8*365*-1</f>
        <v>0</v>
      </c>
      <c r="CR79" s="1" t="e">
        <f>CR47/CR8*365</f>
        <v>#DIV/0!</v>
      </c>
      <c r="CT79" s="1" t="e">
        <f>CT47/CT8*365</f>
        <v>#DIV/0!</v>
      </c>
      <c r="CV79" s="1" t="e">
        <f>CV47/CV8*365</f>
        <v>#DIV/0!</v>
      </c>
      <c r="CX79" s="1" t="e">
        <f>CX47/CX8*365</f>
        <v>#DIV/0!</v>
      </c>
      <c r="CZ79" s="1" t="e">
        <f>CZ47/CZ8*365</f>
        <v>#DIV/0!</v>
      </c>
      <c r="DB79" s="1" t="e">
        <f>DB47/DB8*365</f>
        <v>#DIV/0!</v>
      </c>
      <c r="DD79" s="1" t="e">
        <f>DD47/DD8*365</f>
        <v>#DIV/0!</v>
      </c>
      <c r="DF79" s="1" t="e">
        <f>DF47/DF8*365</f>
        <v>#DIV/0!</v>
      </c>
      <c r="DI79" s="1">
        <f>DI47/DI8*365*-1</f>
        <v>324.82254476109756</v>
      </c>
      <c r="DK79" s="1">
        <f>DK47/DK8*365</f>
        <v>-40.013331809697938</v>
      </c>
      <c r="DM79" s="1">
        <f>DM47/DM8*365</f>
        <v>-40.013331809697938</v>
      </c>
      <c r="DP79" s="1">
        <f>DP47/DP8*365</f>
        <v>-40.013331809697938</v>
      </c>
      <c r="DR79" s="1">
        <f>DR47/DR8*365</f>
        <v>-40.013331809697938</v>
      </c>
      <c r="DU79" s="1">
        <f>DU47/DU8*365</f>
        <v>-40.013331809697938</v>
      </c>
    </row>
    <row r="80" spans="1:126">
      <c r="A80" s="32" t="s">
        <v>115</v>
      </c>
    </row>
    <row r="81" spans="1:126">
      <c r="A81" s="34" t="s">
        <v>116</v>
      </c>
      <c r="B81" s="35"/>
      <c r="D81" s="35">
        <v>5.3</v>
      </c>
      <c r="F81" s="36">
        <v>1.21</v>
      </c>
      <c r="I81" s="36">
        <v>2.79</v>
      </c>
      <c r="N81" s="36">
        <v>14.27</v>
      </c>
      <c r="P81" s="36">
        <v>2.78</v>
      </c>
      <c r="R81" s="36">
        <v>112.5</v>
      </c>
      <c r="T81" s="36">
        <v>3.76</v>
      </c>
      <c r="V81" s="36">
        <v>2.04</v>
      </c>
      <c r="X81" s="36">
        <v>9.4</v>
      </c>
      <c r="AF81" s="9">
        <v>0.87</v>
      </c>
      <c r="AL81" s="36">
        <v>1.01</v>
      </c>
      <c r="AO81" s="36">
        <v>2.6</v>
      </c>
      <c r="AQ81" s="36">
        <v>123.87</v>
      </c>
      <c r="AS81" s="36">
        <v>1.42</v>
      </c>
      <c r="BA81" s="35">
        <v>64.8</v>
      </c>
      <c r="BC81" s="36">
        <v>3.73</v>
      </c>
      <c r="BI81" s="36">
        <v>6.87</v>
      </c>
      <c r="BK81" s="36">
        <v>5.13</v>
      </c>
      <c r="BU81" s="36">
        <v>3.14</v>
      </c>
      <c r="BW81" s="36">
        <v>1.71</v>
      </c>
      <c r="CC81" s="36">
        <v>3.81</v>
      </c>
      <c r="CE81" s="36">
        <v>10.36</v>
      </c>
      <c r="CH81" s="36">
        <v>18.63</v>
      </c>
      <c r="CL81" s="36">
        <v>8.1</v>
      </c>
      <c r="CN81" s="36">
        <v>3.69</v>
      </c>
      <c r="CP81" s="36">
        <v>0.84</v>
      </c>
      <c r="DI81" s="1">
        <v>198.4</v>
      </c>
    </row>
    <row r="82" spans="1:126">
      <c r="A82" s="1" t="s">
        <v>117</v>
      </c>
      <c r="B82" s="9" t="e">
        <f>B94/B81</f>
        <v>#DIV/0!</v>
      </c>
      <c r="D82" s="9">
        <f>D94/D81</f>
        <v>16.803773584905663</v>
      </c>
      <c r="F82" s="9">
        <f>F94/F81</f>
        <v>21.950413223140494</v>
      </c>
      <c r="I82" s="9">
        <f>I94/I81</f>
        <v>22.333333333333332</v>
      </c>
      <c r="K82" s="9"/>
      <c r="N82" s="9">
        <f>N94/N81</f>
        <v>17.337070777855644</v>
      </c>
      <c r="P82" s="9">
        <f>P94/P81</f>
        <v>27.53237410071943</v>
      </c>
      <c r="R82" s="9">
        <f>R94/R81</f>
        <v>0.14328888888888891</v>
      </c>
      <c r="T82" s="9">
        <f>T94/T81</f>
        <v>18.936170212765958</v>
      </c>
      <c r="V82" s="9">
        <f>V94/V81</f>
        <v>17.522058823529409</v>
      </c>
      <c r="X82" s="9">
        <f>X94/X81</f>
        <v>21.148936170212767</v>
      </c>
      <c r="AA82" s="9" t="e">
        <f>AA94/AA81</f>
        <v>#DIV/0!</v>
      </c>
      <c r="AC82" s="9" t="e">
        <f>AC94/AC81</f>
        <v>#DIV/0!</v>
      </c>
      <c r="AF82" s="9">
        <f>AF94/AF81</f>
        <v>214.48275862068965</v>
      </c>
      <c r="AH82" s="9"/>
      <c r="AJ82" s="9" t="e">
        <f>AJ94/AJ81</f>
        <v>#DIV/0!</v>
      </c>
      <c r="AL82" s="9">
        <f>AL94/AL81</f>
        <v>11.722772277227723</v>
      </c>
      <c r="AO82" s="9">
        <f>AO94/AO81</f>
        <v>27.411538461538459</v>
      </c>
      <c r="AQ82" s="9">
        <f>AQ94/AQ81</f>
        <v>17.461855170743522</v>
      </c>
      <c r="AS82" s="9">
        <v>12.3</v>
      </c>
      <c r="AU82" s="9" t="e">
        <f>AU94/AU81</f>
        <v>#DIV/0!</v>
      </c>
      <c r="AW82" s="9" t="e">
        <f>AW94/AW81</f>
        <v>#DIV/0!</v>
      </c>
      <c r="AY82" s="9" t="e">
        <f>AY94/AY81</f>
        <v>#DIV/0!</v>
      </c>
      <c r="BA82" s="9">
        <f>BA94/BA81</f>
        <v>0.20030864197530865</v>
      </c>
      <c r="BC82" s="9">
        <f>BC94/BC81</f>
        <v>11.938337801608579</v>
      </c>
      <c r="BF82" s="9"/>
      <c r="BI82" s="9">
        <f>BI94/BI81</f>
        <v>19.301310043668121</v>
      </c>
      <c r="BK82" s="9">
        <f>BK94/BK81</f>
        <v>24.892787524366472</v>
      </c>
      <c r="BN82" s="9" t="e">
        <f>BN94/BN81</f>
        <v>#DIV/0!</v>
      </c>
      <c r="BP82" s="9" t="e">
        <f>BP94/BP81</f>
        <v>#DIV/0!</v>
      </c>
      <c r="BR82" s="9" t="e">
        <f>BR94/BR81</f>
        <v>#DIV/0!</v>
      </c>
      <c r="BU82" s="9">
        <f>BU94/BU81</f>
        <v>20.566878980891719</v>
      </c>
      <c r="BW82" s="9">
        <f>BW94/BW81</f>
        <v>37.403508771929829</v>
      </c>
      <c r="BZ82" s="9" t="e">
        <f>BZ94/BZ81</f>
        <v>#DIV/0!</v>
      </c>
      <c r="CC82" s="9">
        <f>CC94/CC81</f>
        <v>29.055118110236222</v>
      </c>
      <c r="CE82" s="9">
        <f>CE94/CE81</f>
        <v>26.833976833976834</v>
      </c>
      <c r="CH82" s="9">
        <f>CH94/CH81</f>
        <v>10.958132045088568</v>
      </c>
      <c r="CJ82" s="9" t="e">
        <f>CJ94/CJ81</f>
        <v>#DIV/0!</v>
      </c>
      <c r="CL82" s="9">
        <f>CL94/CL81</f>
        <v>10.520987654320988</v>
      </c>
      <c r="CM82" s="20"/>
      <c r="CN82" s="9">
        <f>CN94/CN81</f>
        <v>15.35230352303523</v>
      </c>
      <c r="CP82" s="9">
        <f>CP94/CP81</f>
        <v>13.083333333333334</v>
      </c>
      <c r="CR82" s="9" t="e">
        <f>CR94/CR81</f>
        <v>#DIV/0!</v>
      </c>
      <c r="CT82" s="9" t="e">
        <f>CT94/CT81</f>
        <v>#DIV/0!</v>
      </c>
      <c r="CV82" s="9" t="e">
        <f>CV94/CV81</f>
        <v>#DIV/0!</v>
      </c>
      <c r="CX82" s="9" t="e">
        <f>CX94/CX81</f>
        <v>#DIV/0!</v>
      </c>
      <c r="CZ82" s="9" t="e">
        <f>CZ94/CZ81</f>
        <v>#DIV/0!</v>
      </c>
      <c r="DB82" s="9" t="e">
        <f>DB94/DB81</f>
        <v>#DIV/0!</v>
      </c>
      <c r="DD82" s="9" t="e">
        <f>DD94/DD81</f>
        <v>#DIV/0!</v>
      </c>
      <c r="DF82" s="9" t="e">
        <f>DF94/DF81</f>
        <v>#DIV/0!</v>
      </c>
      <c r="DI82" s="9">
        <f>DI94/DI81</f>
        <v>0.28442540322580645</v>
      </c>
      <c r="DK82" s="9" t="e">
        <f>DK94/DK81</f>
        <v>#DIV/0!</v>
      </c>
      <c r="DL82" s="20"/>
      <c r="DM82" s="9" t="e">
        <f>DM94/DM81</f>
        <v>#DIV/0!</v>
      </c>
      <c r="DN82" s="20"/>
      <c r="DP82" s="26"/>
      <c r="DQ82" s="20"/>
      <c r="DR82" s="26"/>
      <c r="DS82" s="20"/>
      <c r="DU82" s="26"/>
      <c r="DV82" s="20"/>
    </row>
    <row r="83" spans="1:126">
      <c r="A83" s="1" t="s">
        <v>118</v>
      </c>
      <c r="B83" s="9" t="e">
        <f>B81/B96</f>
        <v>#DIV/0!</v>
      </c>
      <c r="D83" s="9">
        <f>D81/D96</f>
        <v>1.7666666666666666</v>
      </c>
      <c r="F83" s="9">
        <f>F81/F96</f>
        <v>1.5512820512820511</v>
      </c>
      <c r="I83" s="9">
        <f>I81/I96</f>
        <v>2.79</v>
      </c>
      <c r="K83" s="9"/>
      <c r="N83" s="9">
        <f>N81/N96</f>
        <v>1.8294871794871794</v>
      </c>
      <c r="P83" s="9">
        <f>P81/P96</f>
        <v>0.99285714285714288</v>
      </c>
      <c r="R83" s="9">
        <f>R81/R96</f>
        <v>1.4423076923076923</v>
      </c>
      <c r="T83" s="9">
        <f>T81/T96</f>
        <v>1.5346938775510202</v>
      </c>
      <c r="V83" s="9">
        <f>V81/V96</f>
        <v>0.72857142857142865</v>
      </c>
      <c r="X83" s="9">
        <f>X81/X96</f>
        <v>2.088888888888889</v>
      </c>
      <c r="AA83" s="9" t="e">
        <f>AA81/AA96</f>
        <v>#DIV/0!</v>
      </c>
      <c r="AC83" s="9" t="e">
        <f>AC81/AC96</f>
        <v>#DIV/0!</v>
      </c>
      <c r="AF83" s="9">
        <f>AF81/AF96</f>
        <v>8.5377821393523068E-2</v>
      </c>
      <c r="AH83" s="9"/>
      <c r="AJ83" s="9" t="e">
        <f>AJ81/AJ96</f>
        <v>#DIV/0!</v>
      </c>
      <c r="AL83" s="9">
        <f>AL81/AL96</f>
        <v>2.8857142857142861</v>
      </c>
      <c r="AO83" s="9">
        <f>AO81/AO96</f>
        <v>1.4444444444444444</v>
      </c>
      <c r="AQ83" s="9">
        <f>AQ81/AQ96</f>
        <v>5.2935897435897443</v>
      </c>
      <c r="AS83" s="9">
        <f>AS81/AS96</f>
        <v>1.2909090909090908</v>
      </c>
      <c r="AU83" s="9" t="e">
        <f>AU81/AU96</f>
        <v>#DIV/0!</v>
      </c>
      <c r="AW83" s="9" t="e">
        <f>AW81/AW96</f>
        <v>#DIV/0!</v>
      </c>
      <c r="AY83" s="9" t="e">
        <f>AY81/AY96</f>
        <v>#DIV/0!</v>
      </c>
      <c r="BA83" s="9">
        <f>BA81/BA96</f>
        <v>2.2539130434782608</v>
      </c>
      <c r="BC83" s="9">
        <f>BC81/BC96</f>
        <v>1.5672268907563025</v>
      </c>
      <c r="BF83" s="9"/>
      <c r="BI83" s="9">
        <f>BI81/BI96</f>
        <v>2.29</v>
      </c>
      <c r="BK83" s="9">
        <f>BK81/BK96</f>
        <v>2.052</v>
      </c>
      <c r="BN83" s="9" t="e">
        <f>BN81/BN96</f>
        <v>#DIV/0!</v>
      </c>
      <c r="BP83" s="9" t="e">
        <f>BP81/BP96</f>
        <v>#DIV/0!</v>
      </c>
      <c r="BR83" s="9" t="e">
        <f>BR81/BR96</f>
        <v>#DIV/0!</v>
      </c>
      <c r="BU83" s="9">
        <f>BU81/BU96</f>
        <v>1.4604651162790698</v>
      </c>
      <c r="BW83" s="9">
        <f>BW81/BW96</f>
        <v>1.6285714285714286</v>
      </c>
      <c r="BZ83" s="9" t="e">
        <f>BZ81/BZ96</f>
        <v>#DIV/0!</v>
      </c>
      <c r="CC83" s="9">
        <f>CC81/CC96</f>
        <v>1.5743801652892562</v>
      </c>
      <c r="CE83" s="9">
        <f>CE81/CE96</f>
        <v>1.0905263157894736</v>
      </c>
      <c r="CH83" s="9">
        <f>CH81/CH96</f>
        <v>4.6574999999999998</v>
      </c>
      <c r="CJ83" s="9" t="e">
        <f>CJ81/CJ96</f>
        <v>#DIV/0!</v>
      </c>
      <c r="CL83" s="9">
        <f>CL81/CL96</f>
        <v>3.0916030534351142</v>
      </c>
      <c r="CM83" s="20"/>
      <c r="CN83" s="9">
        <f>CN81/CN96</f>
        <v>2.46</v>
      </c>
      <c r="CP83" s="9">
        <f>CP81/CP96</f>
        <v>1.75</v>
      </c>
      <c r="CR83" s="9" t="e">
        <f>CR81/CR96</f>
        <v>#DIV/0!</v>
      </c>
      <c r="CT83" s="9" t="e">
        <f>CT81/CT96</f>
        <v>#DIV/0!</v>
      </c>
      <c r="CV83" s="9" t="e">
        <f>CV81/CV96</f>
        <v>#DIV/0!</v>
      </c>
      <c r="CX83" s="9" t="e">
        <f>CX81/CX96</f>
        <v>#DIV/0!</v>
      </c>
      <c r="CZ83" s="9" t="e">
        <f>CZ81/CZ96</f>
        <v>#DIV/0!</v>
      </c>
      <c r="DB83" s="9" t="e">
        <f>DB81/DB96</f>
        <v>#DIV/0!</v>
      </c>
      <c r="DD83" s="9" t="e">
        <f>DD81/DD96</f>
        <v>#DIV/0!</v>
      </c>
      <c r="DF83" s="9" t="e">
        <f>DF81/DF96</f>
        <v>#DIV/0!</v>
      </c>
      <c r="DI83" s="9">
        <f>DI81/DI96</f>
        <v>1.0333333333333334</v>
      </c>
      <c r="DK83" s="9" t="e">
        <f>DK81/DK96</f>
        <v>#DIV/0!</v>
      </c>
      <c r="DL83" s="20"/>
      <c r="DM83" s="9" t="e">
        <f>DM81/DM96</f>
        <v>#DIV/0!</v>
      </c>
      <c r="DN83" s="20"/>
      <c r="DP83" s="26"/>
      <c r="DQ83" s="20"/>
      <c r="DR83" s="26"/>
      <c r="DS83" s="20"/>
      <c r="DU83" s="26"/>
      <c r="DV83" s="20"/>
    </row>
    <row r="84" spans="1:126">
      <c r="A84" s="1" t="s">
        <v>119</v>
      </c>
      <c r="B84" s="3" t="e">
        <f>B96/B94</f>
        <v>#DIV/0!</v>
      </c>
      <c r="D84" s="3">
        <f>D96/D94</f>
        <v>3.368515607455648E-2</v>
      </c>
      <c r="F84" s="3">
        <f>F96/F94</f>
        <v>2.9367469879518073E-2</v>
      </c>
      <c r="I84" s="3">
        <f>I96/I94</f>
        <v>1.6048788316482106E-2</v>
      </c>
      <c r="K84" s="9"/>
      <c r="N84" s="3">
        <f>N96/N94</f>
        <v>3.1527890056588521E-2</v>
      </c>
      <c r="P84" s="3">
        <f>P96/P94</f>
        <v>3.6582179252678336E-2</v>
      </c>
      <c r="R84" s="3">
        <f>R96/R94</f>
        <v>4.838709677419355</v>
      </c>
      <c r="T84" s="3">
        <f>T96/T94</f>
        <v>3.4410112359550563E-2</v>
      </c>
      <c r="V84" s="3">
        <f>V96/V94</f>
        <v>7.8332633934816057E-2</v>
      </c>
      <c r="X84" s="3">
        <f>X96/X94</f>
        <v>2.2635814889336015E-2</v>
      </c>
      <c r="AA84" s="3" t="e">
        <f>AA96/AA94</f>
        <v>#DIV/0!</v>
      </c>
      <c r="AC84" s="3" t="e">
        <f>AC96/AC94</f>
        <v>#DIV/0!</v>
      </c>
      <c r="AF84" s="3">
        <f>AF96/AF94</f>
        <v>5.4608788853161845E-2</v>
      </c>
      <c r="AH84" s="9"/>
      <c r="AJ84" s="3" t="e">
        <f>AJ96/AJ94</f>
        <v>#DIV/0!</v>
      </c>
      <c r="AL84" s="3">
        <f>AL96/AL94</f>
        <v>2.9560810810810811E-2</v>
      </c>
      <c r="AO84" s="3">
        <f>AO96/AO94</f>
        <v>2.5256068472007859E-2</v>
      </c>
      <c r="AQ84" s="3">
        <f>AQ96/AQ94</f>
        <v>1.0818307905686546E-2</v>
      </c>
      <c r="AS84" s="3">
        <f>AS96/AS94</f>
        <v>6.1111111111111116E-2</v>
      </c>
      <c r="AU84" s="3" t="e">
        <f>AU96/AU94</f>
        <v>#DIV/0!</v>
      </c>
      <c r="AW84" s="3" t="e">
        <f>AW96/AW94</f>
        <v>#DIV/0!</v>
      </c>
      <c r="AY84" s="3" t="e">
        <f>AY96/AY94</f>
        <v>#DIV/0!</v>
      </c>
      <c r="BA84" s="3">
        <v>0.01</v>
      </c>
      <c r="BC84" s="3">
        <f>BC96/BC94</f>
        <v>5.3447114304962941E-2</v>
      </c>
      <c r="BF84" s="9"/>
      <c r="BI84" s="3">
        <f>BI96/BI94</f>
        <v>2.2624434389140271E-2</v>
      </c>
      <c r="BK84" s="3">
        <f>BK96/BK94</f>
        <v>1.9577133907595929E-2</v>
      </c>
      <c r="BN84" s="3" t="e">
        <f>BN96/BN94</f>
        <v>#DIV/0!</v>
      </c>
      <c r="BP84" s="3" t="e">
        <f>BP96/BP94</f>
        <v>#DIV/0!</v>
      </c>
      <c r="BR84" s="3" t="e">
        <f>BR96/BR94</f>
        <v>#DIV/0!</v>
      </c>
      <c r="BU84" s="3">
        <f>BU96/BU94</f>
        <v>3.3292040879529264E-2</v>
      </c>
      <c r="BW84" s="3">
        <f>BW96/BW94</f>
        <v>1.6416510318949345E-2</v>
      </c>
      <c r="BZ84" s="3" t="e">
        <f>BZ96/BZ94</f>
        <v>#DIV/0!</v>
      </c>
      <c r="CC84" s="3">
        <f>CC96/CC94</f>
        <v>2.186088527551942E-2</v>
      </c>
      <c r="CE84" s="3">
        <f>CE96/CE94</f>
        <v>3.41726618705036E-2</v>
      </c>
      <c r="CH84" s="3">
        <f>CH96/CH94</f>
        <v>1.9593436198873378E-2</v>
      </c>
      <c r="CJ84" s="3" t="e">
        <f>CJ96/CJ94</f>
        <v>#DIV/0!</v>
      </c>
      <c r="CL84" s="3">
        <f>CL96/CL94</f>
        <v>3.0743956817648441E-2</v>
      </c>
      <c r="CM84" s="20"/>
      <c r="CN84" s="3">
        <f>CN96/CN94</f>
        <v>2.6478375992939101E-2</v>
      </c>
      <c r="CP84" s="3">
        <f>CP96/CP94</f>
        <v>4.3676069153776156E-2</v>
      </c>
      <c r="CR84" s="3" t="e">
        <f>CR96/CR94</f>
        <v>#DIV/0!</v>
      </c>
      <c r="CT84" s="3" t="e">
        <f>CT96/CT94</f>
        <v>#DIV/0!</v>
      </c>
      <c r="CV84" s="3" t="e">
        <f>CV96/CV94</f>
        <v>#DIV/0!</v>
      </c>
      <c r="CX84" s="3" t="e">
        <f>CX96/CX94</f>
        <v>#DIV/0!</v>
      </c>
      <c r="CZ84" s="3" t="e">
        <f>CZ96/CZ94</f>
        <v>#DIV/0!</v>
      </c>
      <c r="DB84" s="3" t="e">
        <f>DB96/DB94</f>
        <v>#DIV/0!</v>
      </c>
      <c r="DD84" s="3" t="e">
        <f>DD96/DD94</f>
        <v>#DIV/0!</v>
      </c>
      <c r="DF84" s="3" t="e">
        <f>DF96/DF94</f>
        <v>#DIV/0!</v>
      </c>
      <c r="DI84" s="3">
        <v>0.03</v>
      </c>
      <c r="DK84" s="3" t="e">
        <f>DK96/DK94</f>
        <v>#DIV/0!</v>
      </c>
      <c r="DL84" s="20"/>
      <c r="DM84" s="3" t="e">
        <f>DM96/DM94</f>
        <v>#DIV/0!</v>
      </c>
      <c r="DN84" s="20"/>
      <c r="DP84" s="26"/>
      <c r="DQ84" s="20"/>
      <c r="DR84" s="26"/>
      <c r="DS84" s="20"/>
      <c r="DU84" s="26"/>
      <c r="DV84" s="20"/>
    </row>
    <row r="85" spans="1:126">
      <c r="A85" s="1" t="s">
        <v>69</v>
      </c>
      <c r="B85" s="9">
        <f>B55/B61</f>
        <v>0.9071316614420063</v>
      </c>
      <c r="D85" s="9">
        <f>D55/D61</f>
        <v>0.64660262008733627</v>
      </c>
      <c r="F85" s="9">
        <f>F55/F61</f>
        <v>0.39410662224073301</v>
      </c>
      <c r="I85" s="9">
        <f>I55/I61</f>
        <v>0.23417248255234296</v>
      </c>
      <c r="K85" s="9">
        <f>K61/K55</f>
        <v>1.9795454545454545</v>
      </c>
      <c r="N85" s="9">
        <f>N55/N61</f>
        <v>0.77317452097358885</v>
      </c>
      <c r="P85" s="9">
        <f>P55/P61</f>
        <v>0.18265689128985862</v>
      </c>
      <c r="R85" s="9">
        <f>R55/R61</f>
        <v>1.978494623655914</v>
      </c>
      <c r="T85" s="9">
        <f>T55/T61</f>
        <v>0.15095606402406272</v>
      </c>
      <c r="V85" s="9">
        <f>V55/V61</f>
        <v>0.36932868877134134</v>
      </c>
      <c r="X85" s="9">
        <f>X55/X61</f>
        <v>0</v>
      </c>
      <c r="AA85" s="9">
        <f>AA55/AA61</f>
        <v>0.41487208759275596</v>
      </c>
      <c r="AC85" s="9">
        <f>AC55/AC61</f>
        <v>0.35316230041853974</v>
      </c>
      <c r="AF85" s="9">
        <f>AF55/AF61</f>
        <v>0.4015561196335945</v>
      </c>
      <c r="AH85" s="9">
        <f>AH61/AH55</f>
        <v>0.48775791407574903</v>
      </c>
      <c r="AJ85" s="9">
        <f>AJ55/AJ61</f>
        <v>0.36267614639011791</v>
      </c>
      <c r="AL85" s="9">
        <f>AL55/AL61</f>
        <v>1.8620187759260607</v>
      </c>
      <c r="AO85" s="9">
        <f>AO55/AO61</f>
        <v>0.19993596396316823</v>
      </c>
      <c r="AQ85" s="9">
        <f>AQ55/AQ61</f>
        <v>0.3129509918946069</v>
      </c>
      <c r="AS85" s="9">
        <f>AS55/AS61</f>
        <v>0.30672733389941842</v>
      </c>
      <c r="AU85" s="9">
        <f>AU55/AU61</f>
        <v>0.31572366364488902</v>
      </c>
      <c r="AW85" s="9">
        <f>AW55/AW61</f>
        <v>0.31572366364488902</v>
      </c>
      <c r="AY85" s="9">
        <f>AY55/AY61</f>
        <v>0.31572366364488902</v>
      </c>
      <c r="BA85" s="9">
        <f>BA55/BA61</f>
        <v>0.53360450563204009</v>
      </c>
      <c r="BC85" s="9">
        <f>BC55/BC61</f>
        <v>0.33465491923641705</v>
      </c>
      <c r="BF85" s="9">
        <f>BF61/BF55</f>
        <v>1.2245639534883721</v>
      </c>
      <c r="BI85" s="9">
        <f>BI55/BI61</f>
        <v>0.15001983912275008</v>
      </c>
      <c r="BK85" s="9">
        <f>BK55/BK61</f>
        <v>4.1515767158378236E-3</v>
      </c>
      <c r="BN85" s="9">
        <f>BN55/BN61</f>
        <v>0.58554260742898767</v>
      </c>
      <c r="BP85" s="9">
        <f>BP55/BP61</f>
        <v>0.85717743887678532</v>
      </c>
      <c r="BR85" s="9">
        <f>BR55/BR61</f>
        <v>1.0155421240902924</v>
      </c>
      <c r="BU85" s="9">
        <f>BU55/BU61</f>
        <v>0.16157096306459409</v>
      </c>
      <c r="BW85" s="9">
        <f>BW55/BW61</f>
        <v>0.50563617954775564</v>
      </c>
      <c r="BZ85" s="9">
        <f>BZ55/BZ61</f>
        <v>1.1676308008741483</v>
      </c>
      <c r="CC85" s="9">
        <f>CC55/CC61</f>
        <v>2.1554046772281495E-4</v>
      </c>
      <c r="CE85" s="9">
        <f>CE55/CE61</f>
        <v>0</v>
      </c>
      <c r="CH85" s="9">
        <f>CH61/CH55</f>
        <v>1.4636116845749956</v>
      </c>
      <c r="CJ85" s="9">
        <f>CJ55/CJ61</f>
        <v>0.77730522456461959</v>
      </c>
      <c r="CL85" s="26">
        <v>0.78</v>
      </c>
      <c r="CM85" s="20"/>
      <c r="CN85" s="9">
        <f>CN55/CN61</f>
        <v>0</v>
      </c>
      <c r="CP85" s="9">
        <f>CP55/CP61</f>
        <v>0</v>
      </c>
      <c r="CR85" s="9">
        <f>CR55/CR61</f>
        <v>3.5607048834285986</v>
      </c>
      <c r="CT85" s="9">
        <f>CT55/CT61</f>
        <v>3.5607048834285986</v>
      </c>
      <c r="CV85" s="9">
        <f>CV55/CV61</f>
        <v>3.5607048834285986</v>
      </c>
      <c r="CX85" s="9">
        <f>CX55/CX61</f>
        <v>3.5607048834285986</v>
      </c>
      <c r="CZ85" s="9">
        <f>CZ55/CZ61</f>
        <v>3.5607048834285986</v>
      </c>
      <c r="DB85" s="9">
        <f>DB55/DB61</f>
        <v>3.5607048834285986</v>
      </c>
      <c r="DD85" s="9">
        <f>DD55/DD61</f>
        <v>3.5607048834285986</v>
      </c>
      <c r="DF85" s="9">
        <f>DF55/DF61</f>
        <v>3.5607048834285986</v>
      </c>
      <c r="DI85" s="9">
        <f>DI55/DI61</f>
        <v>0.4602631677320474</v>
      </c>
      <c r="DK85" s="26">
        <v>0.78</v>
      </c>
      <c r="DL85" s="20"/>
      <c r="DM85" s="26">
        <v>0.78</v>
      </c>
      <c r="DN85" s="20"/>
      <c r="DP85" s="26">
        <v>0.78</v>
      </c>
      <c r="DQ85" s="20"/>
      <c r="DR85" s="26">
        <v>0.78</v>
      </c>
      <c r="DS85" s="20"/>
      <c r="DU85" s="26">
        <v>0.78</v>
      </c>
      <c r="DV85" s="20"/>
    </row>
    <row r="86" spans="1:126">
      <c r="A86" s="1" t="s">
        <v>70</v>
      </c>
      <c r="B86" s="31">
        <f>(B18+B16)/B16</f>
        <v>-6.3125</v>
      </c>
      <c r="D86" s="31">
        <f>(D18+D16)/D16</f>
        <v>1169.5999999999999</v>
      </c>
      <c r="F86" s="18">
        <f>(F18-F16)/F16</f>
        <v>-11.425641025641026</v>
      </c>
      <c r="I86" s="18">
        <f>(I18+I16)/I16</f>
        <v>-65.606060606060609</v>
      </c>
      <c r="N86" s="18">
        <f>(N18+N16)/N16</f>
        <v>-7.6386109476162449</v>
      </c>
      <c r="P86" s="18">
        <f>(P18+P16)/P16</f>
        <v>-8.2206759443339958</v>
      </c>
      <c r="R86" s="18">
        <f>(R18+R16)/R16</f>
        <v>-8.4150141643059495</v>
      </c>
      <c r="T86" s="18">
        <f>(T18+T16)/T16*-1</f>
        <v>12.851612903225806</v>
      </c>
      <c r="V86" s="18">
        <f>(V18+V16)/V16</f>
        <v>-6.3415730337078653</v>
      </c>
      <c r="X86" s="18">
        <f>(X18+X16)/X16</f>
        <v>32.108030592734224</v>
      </c>
      <c r="AA86" s="18">
        <f>(AA18+AA16)/AA16</f>
        <v>-3.5384615384615383</v>
      </c>
      <c r="AC86" s="18">
        <f>(AC18+AC16)/AC16</f>
        <v>-10.353970390309556</v>
      </c>
      <c r="AF86" s="18">
        <f>(AF18+AF16)/AF16*-1</f>
        <v>1.1948752528658126</v>
      </c>
      <c r="AJ86" s="18">
        <f>(AJ18+AJ16)/AJ16</f>
        <v>-5.4695121951219514</v>
      </c>
      <c r="AL86" s="18">
        <f>(AL18+AL16)/AL16*-1</f>
        <v>1.1912072575017445</v>
      </c>
      <c r="AO86" s="18">
        <f>(AO18+AO16)/AO16*-1</f>
        <v>19.457978075517662</v>
      </c>
      <c r="AQ86" s="18">
        <f>(AQ18+AQ16)/AQ16*-1</f>
        <v>18.522609819121445</v>
      </c>
      <c r="AS86" s="18">
        <v>8.8000000000000007</v>
      </c>
      <c r="AU86" s="18">
        <f>(AU18+AU16)/AU16</f>
        <v>2068</v>
      </c>
      <c r="AW86" s="18">
        <f>(AW18+AW16)/AW16</f>
        <v>2068</v>
      </c>
      <c r="AY86" s="18">
        <f>(AY18+AY16)/AY16</f>
        <v>2068</v>
      </c>
      <c r="BA86" s="18">
        <f>(BA18+BA16)/BA16*-1</f>
        <v>33.114035087719301</v>
      </c>
      <c r="BC86" s="18">
        <f>(BC18+BC16)/BC16*-1</f>
        <v>31.358428805237317</v>
      </c>
      <c r="BI86" s="18">
        <f>(BI18+BI16)/BI16*-1</f>
        <v>27.653266331658291</v>
      </c>
      <c r="BK86" s="18">
        <f>(BK18+BK16)/BK16*-1</f>
        <v>92.581395348837205</v>
      </c>
      <c r="BN86" s="18">
        <f>(BN18+BN16)/BN16</f>
        <v>-5.4108843537414968</v>
      </c>
      <c r="BP86" s="18">
        <f>(BP18+BP16)/BP16</f>
        <v>-4.0548504079782415</v>
      </c>
      <c r="BR86" s="18">
        <f>(BR18+BR16)/BR16</f>
        <v>-6.8270676691729326</v>
      </c>
      <c r="BU86" s="18">
        <f>(BU18+BU16)/BU16*-1</f>
        <v>20.713153724247228</v>
      </c>
      <c r="BW86" s="18">
        <f>(BW18+BW16)/BW16*-1</f>
        <v>12.422641509433962</v>
      </c>
      <c r="BZ86" s="18">
        <f>(BZ18+BZ16)/BZ16</f>
        <v>-11.385964912280702</v>
      </c>
      <c r="CC86" s="18">
        <f>(CC18+CC16)/CC16*-1</f>
        <v>168.61111111111111</v>
      </c>
      <c r="CE86" s="18">
        <f>(CE18+CE16)/CE16</f>
        <v>63.92178770949721</v>
      </c>
      <c r="CH86" s="18">
        <f>(CH18+CH16)/CH16*-1</f>
        <v>3.3899682091133876</v>
      </c>
      <c r="CJ86" s="18">
        <f>(CJ18+CJ16)/CJ16</f>
        <v>-8.9890282131661436</v>
      </c>
      <c r="CL86" s="18">
        <f>(CL18+CL16)/CL16*-1</f>
        <v>15.800424628450106</v>
      </c>
      <c r="CM86" s="20"/>
      <c r="CN86" s="18"/>
      <c r="CP86" s="18"/>
      <c r="CR86" s="18" t="e">
        <f>(CR18+CR16)/CR16</f>
        <v>#DIV/0!</v>
      </c>
      <c r="CT86" s="18" t="e">
        <f>(CT18+CT16)/CT16</f>
        <v>#DIV/0!</v>
      </c>
      <c r="CV86" s="18" t="e">
        <f>(CV18+CV16)/CV16</f>
        <v>#DIV/0!</v>
      </c>
      <c r="CX86" s="18" t="e">
        <f>(CX18+CX16)/CX16</f>
        <v>#DIV/0!</v>
      </c>
      <c r="CZ86" s="18" t="e">
        <f>(CZ18+CZ16)/CZ16</f>
        <v>#DIV/0!</v>
      </c>
      <c r="DB86" s="18" t="e">
        <f>(DB18+DB16)/DB16</f>
        <v>#DIV/0!</v>
      </c>
      <c r="DD86" s="18" t="e">
        <f>(DD18+DD16)/DD16</f>
        <v>#DIV/0!</v>
      </c>
      <c r="DF86" s="18" t="e">
        <f>(DF18+DF16)/DF16</f>
        <v>#DIV/0!</v>
      </c>
      <c r="DI86" s="18">
        <f>(DI18+DI16)/DI16</f>
        <v>0.20467438166553212</v>
      </c>
      <c r="DK86" s="28">
        <v>-9</v>
      </c>
      <c r="DL86" s="20"/>
      <c r="DM86" s="28">
        <v>-9</v>
      </c>
      <c r="DN86" s="20"/>
      <c r="DP86" s="28">
        <v>-9</v>
      </c>
      <c r="DQ86" s="20"/>
      <c r="DR86" s="28">
        <v>-9</v>
      </c>
      <c r="DS86" s="20"/>
      <c r="DU86" s="28">
        <v>-9</v>
      </c>
      <c r="DV86" s="20"/>
    </row>
    <row r="87" spans="1:126">
      <c r="A87" s="32" t="s">
        <v>12</v>
      </c>
      <c r="D87" s="31"/>
      <c r="F87" s="18"/>
      <c r="I87" s="18"/>
      <c r="N87" s="18"/>
      <c r="P87" s="18"/>
      <c r="R87" s="18"/>
      <c r="T87" s="18"/>
      <c r="V87" s="18"/>
      <c r="X87" s="18"/>
      <c r="AA87" s="18"/>
      <c r="AC87" s="18"/>
      <c r="AF87" s="18"/>
      <c r="AJ87" s="18"/>
      <c r="AL87" s="18"/>
      <c r="AO87" s="18"/>
      <c r="AQ87" s="18"/>
      <c r="AS87" s="18"/>
      <c r="AU87" s="18"/>
      <c r="AW87" s="18"/>
      <c r="AY87" s="18"/>
      <c r="BA87" s="18"/>
      <c r="BC87" s="18"/>
      <c r="BI87" s="18"/>
      <c r="BK87" s="18"/>
      <c r="BN87" s="18"/>
      <c r="BP87" s="18"/>
      <c r="BR87" s="18"/>
      <c r="BU87" s="18"/>
      <c r="BW87" s="18"/>
      <c r="BZ87" s="18"/>
      <c r="CC87" s="18"/>
      <c r="CE87" s="18"/>
      <c r="CJ87" s="18"/>
      <c r="CL87" s="28"/>
      <c r="CM87" s="20"/>
      <c r="CN87" s="18"/>
      <c r="CP87" s="18"/>
      <c r="CR87" s="18"/>
      <c r="CT87" s="18"/>
      <c r="CV87" s="18"/>
      <c r="CX87" s="18"/>
      <c r="CZ87" s="18"/>
      <c r="DB87" s="18"/>
      <c r="DD87" s="18"/>
      <c r="DF87" s="18"/>
      <c r="DI87" s="18"/>
      <c r="DK87" s="28"/>
      <c r="DL87" s="20"/>
      <c r="DM87" s="28"/>
      <c r="DN87" s="20"/>
      <c r="DP87" s="28"/>
      <c r="DQ87" s="20"/>
      <c r="DR87" s="28"/>
      <c r="DS87" s="20"/>
      <c r="DU87" s="28"/>
      <c r="DV87" s="20"/>
    </row>
    <row r="88" spans="1:126">
      <c r="A88" s="1" t="s">
        <v>10</v>
      </c>
      <c r="B88" s="3">
        <f>B19/B18</f>
        <v>-0.14996114996114995</v>
      </c>
      <c r="D88" s="3">
        <f>D19/D18*-1</f>
        <v>0.27896628444292315</v>
      </c>
      <c r="F88" s="3">
        <f>F19/F18</f>
        <v>-0.27594687653713723</v>
      </c>
      <c r="I88" s="3">
        <f>I19/I18</f>
        <v>-0.24363057324840764</v>
      </c>
      <c r="K88" s="3">
        <f>K19/K18</f>
        <v>-1.3809523809523809</v>
      </c>
      <c r="N88" s="3">
        <f>N19/N18</f>
        <v>-0.22511412413981058</v>
      </c>
      <c r="P88" s="3">
        <f>P19/P18</f>
        <v>-0.16451056489866323</v>
      </c>
      <c r="R88" s="3">
        <f>R19/R18</f>
        <v>-0.15330224161275763</v>
      </c>
      <c r="T88" s="3">
        <f>T19/T18*-1</f>
        <v>0.1344201210992082</v>
      </c>
      <c r="V88" s="3">
        <f>V19/V18</f>
        <v>-0.21303948576675849</v>
      </c>
      <c r="X88" s="3">
        <f>X19/X18</f>
        <v>-0.22603644856940902</v>
      </c>
      <c r="AA88" s="3">
        <f>AA19/AA18</f>
        <v>-0.26494201605709189</v>
      </c>
      <c r="AC88" s="3">
        <f>AC19/AC18</f>
        <v>-0.38098624940730202</v>
      </c>
      <c r="AF88" s="3">
        <f>AF19/AF18*-1</f>
        <v>0.79324116743471584</v>
      </c>
      <c r="AH88" s="3">
        <f>AH19/AH18</f>
        <v>3.1256685636044668E-2</v>
      </c>
      <c r="AJ88" s="3">
        <f>AJ19/AJ18</f>
        <v>-0.26662477746360874</v>
      </c>
      <c r="AL88" s="3">
        <f>AL19/AL18*-1</f>
        <v>0.2087579617834395</v>
      </c>
      <c r="AO88" s="3">
        <f>AO19/AO18*-1</f>
        <v>0.5080376280066683</v>
      </c>
      <c r="AQ88" s="3">
        <f>AQ19/AQ18*-1</f>
        <v>0.21385791337149665</v>
      </c>
      <c r="AS88" s="3">
        <f>AS19/AS18*-1</f>
        <v>0.64487252936121453</v>
      </c>
      <c r="AU88" s="3">
        <f>AU19/AU18</f>
        <v>-0.66376390904692795</v>
      </c>
      <c r="AW88" s="3">
        <f>AW19/AW18</f>
        <v>-0.66376390904692795</v>
      </c>
      <c r="AY88" s="3">
        <f>AY19/AY18</f>
        <v>-0.66376390904692795</v>
      </c>
      <c r="BA88" s="3">
        <f>BA19/BA18*-1</f>
        <v>0.43301619953715609</v>
      </c>
      <c r="BC88" s="3">
        <f>BC19/BC18*-1</f>
        <v>0.56193414597137226</v>
      </c>
      <c r="BF88" s="3">
        <f>BF19/BF18</f>
        <v>-5.7277283420272065E-3</v>
      </c>
      <c r="BI88" s="3">
        <f>BI19/BI18*-1</f>
        <v>0.30778674149421253</v>
      </c>
      <c r="BK88" s="3">
        <f>BK19/BK18*-1</f>
        <v>0.26416500994035785</v>
      </c>
      <c r="BN88" s="3">
        <f>BN19/BN18</f>
        <v>-0.25488115449915111</v>
      </c>
      <c r="BP88" s="3">
        <f>BP19/BP18</f>
        <v>-0.15397722177383194</v>
      </c>
      <c r="BR88" s="3">
        <f>BR19/BR18</f>
        <v>-0.16938840858149215</v>
      </c>
      <c r="BU88" s="3">
        <f>BU19/BU18*-1</f>
        <v>0.23764688708853368</v>
      </c>
      <c r="BW88" s="3">
        <f>BW19/BW18*-1</f>
        <v>0.2601911723362384</v>
      </c>
      <c r="BZ88" s="3">
        <f>BZ19/BZ18</f>
        <v>-0.27018413597733709</v>
      </c>
      <c r="CC88" s="3">
        <f>CC19/CC18*-1</f>
        <v>0.21978381919423517</v>
      </c>
      <c r="CE88" s="3">
        <f>CE19/CE18*-1</f>
        <v>0.23856876498268667</v>
      </c>
      <c r="CH88" s="3">
        <f>CH19/CH18*-1</f>
        <v>0.2641615706469263</v>
      </c>
      <c r="CJ88" s="3">
        <f>CJ19/CJ18</f>
        <v>-0.14153459908991056</v>
      </c>
      <c r="CL88" s="3">
        <f>CL19/CL18*-1</f>
        <v>0.32516112725894097</v>
      </c>
      <c r="CM88" s="20"/>
      <c r="CN88" s="3">
        <f>CN19/CN18*-1</f>
        <v>0.33581633899132984</v>
      </c>
      <c r="CP88" s="3">
        <f>CP19/CP18*-1</f>
        <v>0.21116773764679814</v>
      </c>
      <c r="CR88" s="3">
        <f>CR19/CR18</f>
        <v>-0.1620174697097774</v>
      </c>
      <c r="CT88" s="3">
        <f>CT19/CT18</f>
        <v>-0.1620174697097774</v>
      </c>
      <c r="CV88" s="3">
        <f>CV19/CV18</f>
        <v>-0.1620174697097774</v>
      </c>
      <c r="CX88" s="3">
        <f>CX19/CX18</f>
        <v>-0.1620174697097774</v>
      </c>
      <c r="CZ88" s="3">
        <f>CZ19/CZ18</f>
        <v>-0.1620174697097774</v>
      </c>
      <c r="DB88" s="3">
        <f>DB19/DB18</f>
        <v>-0.1620174697097774</v>
      </c>
      <c r="DD88" s="3">
        <f>DD19/DD18</f>
        <v>-0.1620174697097774</v>
      </c>
      <c r="DF88" s="3">
        <f>DF19/DF18</f>
        <v>-0.1620174697097774</v>
      </c>
      <c r="DI88" s="3">
        <f>DI19/DI18*-1</f>
        <v>0.69215406562054205</v>
      </c>
      <c r="DK88" s="23">
        <v>-0.14000000000000001</v>
      </c>
      <c r="DL88" s="20"/>
      <c r="DM88" s="23">
        <v>-0.14000000000000001</v>
      </c>
      <c r="DN88" s="20"/>
      <c r="DP88" s="23">
        <v>-0.14000000000000001</v>
      </c>
      <c r="DQ88" s="20"/>
      <c r="DR88" s="23">
        <v>-0.14000000000000001</v>
      </c>
      <c r="DS88" s="20"/>
      <c r="DU88" s="23">
        <v>-0.14000000000000001</v>
      </c>
      <c r="DV88" s="20"/>
    </row>
    <row r="89" spans="1:126">
      <c r="A89" s="1" t="s">
        <v>54</v>
      </c>
      <c r="B89" s="3">
        <f>B26/B43</f>
        <v>0.23782108060230292</v>
      </c>
      <c r="D89" s="3">
        <f>(D26+D27)/D43</f>
        <v>0.2250431643384084</v>
      </c>
      <c r="F89" s="3">
        <f>(F26+F27)/F43</f>
        <v>0.29059171105193077</v>
      </c>
      <c r="I89" s="3">
        <f>(I26+I27)/I43</f>
        <v>0.61430575035063117</v>
      </c>
      <c r="K89" s="3">
        <f>K26/K43</f>
        <v>0.74337899543378994</v>
      </c>
      <c r="N89" s="3">
        <f>(N26+N27)/N43</f>
        <v>0.1783743786896585</v>
      </c>
      <c r="P89" s="3">
        <f>(P26+P27)/P43</f>
        <v>0.54680684952896474</v>
      </c>
      <c r="R89" s="3">
        <f>(R26+R27)/R43</f>
        <v>0.32048662262985317</v>
      </c>
      <c r="T89" s="3">
        <f>(T26+T27)/T43</f>
        <v>0.46625849478036341</v>
      </c>
      <c r="V89" s="3">
        <f>(V26+V27)/V43</f>
        <v>0.46562550313959106</v>
      </c>
      <c r="X89" s="3">
        <f>(X26+X27)/X43</f>
        <v>2.2960888294923012E-2</v>
      </c>
      <c r="AA89" s="3">
        <f>(AA26+AA27)/AA43</f>
        <v>0.36871031934047188</v>
      </c>
      <c r="AC89" s="3">
        <f>(AC26+AC27)/AC43</f>
        <v>0.19029334494069364</v>
      </c>
      <c r="AF89" s="3">
        <f>(AF26+AF27)/AF43</f>
        <v>0.36718804748489819</v>
      </c>
      <c r="AH89" s="3">
        <f>AH26/AH43</f>
        <v>0.38560409330138012</v>
      </c>
      <c r="AJ89" s="3">
        <f>(AJ26+AJ27)/AJ43</f>
        <v>0.42639135668023154</v>
      </c>
      <c r="AL89" s="3">
        <f>(AL26+AL27)/AL43</f>
        <v>0.35319950867392436</v>
      </c>
      <c r="AO89" s="3">
        <f>(AO26+AO27)/AO43</f>
        <v>1.229049654277339E-2</v>
      </c>
      <c r="AQ89" s="3">
        <f>(AQ26+AQ27)/AQ43</f>
        <v>0.11194347214498349</v>
      </c>
      <c r="AS89" s="3">
        <f>(AS26+AS27)/AS43</f>
        <v>3.2006105911892263E-2</v>
      </c>
      <c r="AU89" s="3">
        <f>(AU26+AU27)/AU43</f>
        <v>0.11167771545130036</v>
      </c>
      <c r="AW89" s="3">
        <f>(AW26+AW27)/AW43</f>
        <v>0.11167771545130036</v>
      </c>
      <c r="AY89" s="3">
        <f>(AY26+AY27)/AY43</f>
        <v>0.11167771545130036</v>
      </c>
      <c r="BA89" s="3">
        <f>(BA26+BA27)/BA43</f>
        <v>5.894746415254494E-2</v>
      </c>
      <c r="BC89" s="3">
        <f>(BC26+BC27)/BC43</f>
        <v>7.6897360670005938E-2</v>
      </c>
      <c r="BF89" s="3">
        <f>BF26/BF43</f>
        <v>9.9057317134647382E-2</v>
      </c>
      <c r="BI89" s="3">
        <f>(BI26+BI27)/BI43</f>
        <v>0.38468584976829401</v>
      </c>
      <c r="BK89" s="3">
        <f>(BK26+BK27)/BK43</f>
        <v>0.28771806505208003</v>
      </c>
      <c r="BN89" s="3">
        <f>(BN26+BN27)/BN43</f>
        <v>0.52399900522258147</v>
      </c>
      <c r="BP89" s="3">
        <f>(BP26+BP27)/BP43</f>
        <v>0.6209132204108595</v>
      </c>
      <c r="BR89" s="3">
        <f>(BR26+BR27)/BR43</f>
        <v>0.36080870917573871</v>
      </c>
      <c r="BU89" s="3">
        <f>(BU26+BU27)/BU43</f>
        <v>0.36292987496056195</v>
      </c>
      <c r="BW89" s="3">
        <f>(BW26+BW27)/BW43</f>
        <v>0.45929734361610969</v>
      </c>
      <c r="BZ89" s="3">
        <f>(BZ26+BZ27)/BZ43</f>
        <v>0.42851392395799026</v>
      </c>
      <c r="CC89" s="3">
        <f>(CC26+CC27)/CC43</f>
        <v>6.1427740622273914E-2</v>
      </c>
      <c r="CE89" s="3">
        <f>(CE26+CE27)/CE43</f>
        <v>3.4654972897253181E-2</v>
      </c>
      <c r="CH89" s="3">
        <f>CH26/CH43</f>
        <v>0</v>
      </c>
      <c r="CJ89" s="3">
        <f>(CJ26+CJ27)/CJ43</f>
        <v>0.17506685460605181</v>
      </c>
      <c r="CL89" s="23">
        <v>0.18</v>
      </c>
      <c r="CM89" s="20"/>
      <c r="CN89" s="3">
        <f>(CN26+CN27)/CN43</f>
        <v>6.9833457397757955E-3</v>
      </c>
      <c r="CP89" s="3">
        <f>(CP26+CP27)/CP43</f>
        <v>1.1199714897290401E-2</v>
      </c>
      <c r="CR89" s="3">
        <f>(CR26+CR27)/CR43</f>
        <v>2.2102537121109489E-2</v>
      </c>
      <c r="CT89" s="3">
        <f>(CT26+CT27)/CT43</f>
        <v>2.2102537121109489E-2</v>
      </c>
      <c r="CV89" s="3">
        <f>(CV26+CV27)/CV43</f>
        <v>2.2102537121109489E-2</v>
      </c>
      <c r="CX89" s="3">
        <f>(CX26+CX27)/CX43</f>
        <v>2.2102537121109489E-2</v>
      </c>
      <c r="CZ89" s="3">
        <f>(CZ26+CZ27)/CZ43</f>
        <v>2.2102537121109489E-2</v>
      </c>
      <c r="DB89" s="3">
        <f>(DB26+DB27)/DB43</f>
        <v>2.2102537121109489E-2</v>
      </c>
      <c r="DD89" s="3">
        <f>(DD26+DD27)/DD43</f>
        <v>2.2102537121109489E-2</v>
      </c>
      <c r="DF89" s="3">
        <f>(DF26+DF27)/DF43</f>
        <v>2.2102537121109489E-2</v>
      </c>
      <c r="DI89" s="3">
        <f>(DI26+DI27)/DI43</f>
        <v>6.0977257374465209E-2</v>
      </c>
      <c r="DK89" s="23">
        <v>0.18</v>
      </c>
      <c r="DL89" s="20"/>
      <c r="DM89" s="23">
        <v>0.18</v>
      </c>
      <c r="DN89" s="20"/>
      <c r="DP89" s="23">
        <v>0.18</v>
      </c>
      <c r="DQ89" s="20"/>
      <c r="DR89" s="23">
        <v>0.18</v>
      </c>
      <c r="DS89" s="20"/>
      <c r="DU89" s="23">
        <v>0.18</v>
      </c>
      <c r="DV89" s="20"/>
    </row>
    <row r="90" spans="1:126">
      <c r="A90" s="1" t="s">
        <v>55</v>
      </c>
      <c r="B90" s="3">
        <f>B26/B61</f>
        <v>1.472962382445141</v>
      </c>
      <c r="D90" s="3">
        <f>(D26+D27)/D61</f>
        <v>0.8013973799126638</v>
      </c>
      <c r="F90" s="3">
        <f>(F26+F27)/F61</f>
        <v>0.72714493960849647</v>
      </c>
      <c r="I90" s="3">
        <f>(I26+I27)/I61</f>
        <v>1.0371385842472582</v>
      </c>
      <c r="K90" s="3">
        <f>K26/K61</f>
        <v>1.8691159586681976</v>
      </c>
      <c r="N90" s="3">
        <f>(N26+N27)/N61</f>
        <v>0.52205640035779854</v>
      </c>
      <c r="P90" s="3">
        <f>(P26+P27)/P61</f>
        <v>0.92133511067457119</v>
      </c>
      <c r="R90" s="3">
        <f>(R26+R27)/R61</f>
        <v>1.7265745007680491</v>
      </c>
      <c r="T90" s="3">
        <f>(T26+T27)/T61</f>
        <v>0.79045815877108172</v>
      </c>
      <c r="V90" s="3">
        <f>(V26+V27)/V61</f>
        <v>1.1193394400722487</v>
      </c>
      <c r="X90" s="3">
        <f>(X26+X27)/X61</f>
        <v>3.7938405882214754E-2</v>
      </c>
      <c r="AA90" s="3">
        <f>(AA26+AA27)/AA61</f>
        <v>1.00954802553059</v>
      </c>
      <c r="AC90" s="3">
        <f>(AC26+AC27)/AC61</f>
        <v>0.47438381646256395</v>
      </c>
      <c r="AF90" s="3">
        <f>(AF26+AF27)/AF61</f>
        <v>0.72283688334620899</v>
      </c>
      <c r="AH90" s="3">
        <f>AH26/AH61</f>
        <v>1.8123573937923292</v>
      </c>
      <c r="AJ90" s="3">
        <f>(AJ26+AJ27)/AJ61</f>
        <v>0.76102912968977776</v>
      </c>
      <c r="AL90" s="3">
        <f>(AL26+AL27)/AL61</f>
        <v>1.5276180772869514</v>
      </c>
      <c r="AO90" s="3">
        <f>(AO26+AO27)/AO61</f>
        <v>2.4256409124031177E-2</v>
      </c>
      <c r="AQ90" s="3">
        <f>(AQ26+AQ27)/AQ61</f>
        <v>0.26240922649857751</v>
      </c>
      <c r="AS90" s="3">
        <f>(AS26+AS27)/AS61</f>
        <v>7.1887466555585824E-2</v>
      </c>
      <c r="AU90" s="3">
        <f>(AU26+AU27)/AU61</f>
        <v>0.27383557361675526</v>
      </c>
      <c r="AW90" s="3">
        <f>(AW26+AW27)/AW61</f>
        <v>0.27383557361675526</v>
      </c>
      <c r="AY90" s="3">
        <f>(AY26+AY27)/AY61</f>
        <v>0.27383557361675526</v>
      </c>
      <c r="BA90" s="3">
        <f>(BA26+BA27)/BA61</f>
        <v>0.12168335419274093</v>
      </c>
      <c r="BC90" s="3">
        <f>(BC26+BC27)/BC61</f>
        <v>0.17809371245494593</v>
      </c>
      <c r="BF90" s="3">
        <f>BF26/BF61</f>
        <v>0.38872403560830859</v>
      </c>
      <c r="BI90" s="3">
        <f>(BI26+BI27)/BI61</f>
        <v>0.7725354398874581</v>
      </c>
      <c r="BK90" s="3">
        <f>(BK26+BK27)/BK61</f>
        <v>0.39771221623531489</v>
      </c>
      <c r="BN90" s="3">
        <f>(BN26+BN27)/BN61</f>
        <v>1.0742170429715951</v>
      </c>
      <c r="BP90" s="3">
        <f>(BP26+BP27)/BP61</f>
        <v>1.6755133029642832</v>
      </c>
      <c r="BR90" s="3">
        <f>(BR26+BR27)/BR61</f>
        <v>1.1160725299124215</v>
      </c>
      <c r="BU90" s="3">
        <f>(BU26+BU27)/BU61</f>
        <v>0.68151982413196344</v>
      </c>
      <c r="BW90" s="3">
        <f>(BW26+BW27)/BW61</f>
        <v>1.4110023624704691</v>
      </c>
      <c r="BZ90" s="3">
        <f>(BZ26+BZ27)/BZ61</f>
        <v>1.5053348759480654</v>
      </c>
      <c r="CC90" s="3">
        <f>(CC26+CC27)/CC61</f>
        <v>9.1065847612889314E-2</v>
      </c>
      <c r="CE90" s="3">
        <f>(CE26+CE27)/CE61</f>
        <v>5.0300565770862803E-2</v>
      </c>
      <c r="CH90" s="3">
        <f>CH26/CH61</f>
        <v>0</v>
      </c>
      <c r="CJ90" s="3">
        <f>(CJ26+CJ27)/CJ61</f>
        <v>0.64965475099297276</v>
      </c>
      <c r="CL90" s="23">
        <v>0.65</v>
      </c>
      <c r="CM90" s="20"/>
      <c r="CN90" s="3">
        <f>(CN26+CN27)/CN61</f>
        <v>0.13789736951800091</v>
      </c>
      <c r="CP90" s="3">
        <f>(CP26+CP27)/CP61</f>
        <v>0.15708367680183136</v>
      </c>
      <c r="CR90" s="3">
        <f>(CR26+CR27)/CR61</f>
        <v>0.33277992552712093</v>
      </c>
      <c r="CT90" s="3">
        <f>(CT26+CT27)/CT61</f>
        <v>0.33277992552712093</v>
      </c>
      <c r="CV90" s="3">
        <f>(CV26+CV27)/CV61</f>
        <v>0.33277992552712093</v>
      </c>
      <c r="CX90" s="3">
        <f>(CX26+CX27)/CX61</f>
        <v>0.33277992552712093</v>
      </c>
      <c r="CZ90" s="3">
        <f>(CZ26+CZ27)/CZ61</f>
        <v>0.33277992552712093</v>
      </c>
      <c r="DB90" s="3">
        <f>(DB26+DB27)/DB61</f>
        <v>0.33277992552712093</v>
      </c>
      <c r="DD90" s="3">
        <f>(DD26+DD27)/DD61</f>
        <v>0.33277992552712093</v>
      </c>
      <c r="DF90" s="3">
        <f>(DF26+DF27)/DF61</f>
        <v>0.33277992552712093</v>
      </c>
      <c r="DI90" s="3">
        <f>(DI26+DI27)/DI61</f>
        <v>0.12653732570745019</v>
      </c>
      <c r="DK90" s="23">
        <v>0.65</v>
      </c>
      <c r="DL90" s="20"/>
      <c r="DM90" s="23">
        <v>0.65</v>
      </c>
      <c r="DN90" s="20"/>
      <c r="DP90" s="23">
        <v>0.65</v>
      </c>
      <c r="DQ90" s="20"/>
      <c r="DR90" s="23">
        <v>0.65</v>
      </c>
      <c r="DS90" s="20"/>
      <c r="DU90" s="23">
        <v>0.65</v>
      </c>
      <c r="DV90" s="20"/>
    </row>
    <row r="91" spans="1:126">
      <c r="A91" s="1" t="s">
        <v>42</v>
      </c>
      <c r="B91" s="3">
        <f>B11/B5</f>
        <v>-3.6360945285904583E-2</v>
      </c>
      <c r="D91" s="3">
        <f>D11/D5*-1</f>
        <v>5.6548325030969133E-2</v>
      </c>
      <c r="F91" s="3">
        <f>F11/F5</f>
        <v>-3.5127126744408335E-2</v>
      </c>
      <c r="I91" s="3">
        <f>I11/I5</f>
        <v>-0.13571216176033304</v>
      </c>
      <c r="K91" s="3">
        <f>K11/K5</f>
        <v>0</v>
      </c>
      <c r="N91" s="3">
        <f>N11/N5</f>
        <v>-0.19816160752458314</v>
      </c>
      <c r="P91" s="3">
        <f>P11/P5</f>
        <v>-0.14476040180874633</v>
      </c>
      <c r="R91" s="3">
        <f>R11/R5</f>
        <v>-0.14800980946991132</v>
      </c>
      <c r="T91" s="3">
        <f>T11/T5*-1</f>
        <v>0.17009668508287293</v>
      </c>
      <c r="V91" s="3">
        <f>V11/V5</f>
        <v>-0.18750729259849869</v>
      </c>
      <c r="X91" s="3">
        <f>X11/X5</f>
        <v>-0.14039391183650027</v>
      </c>
      <c r="AA91" s="3">
        <f>AA11/AA5</f>
        <v>-8.0267192290845377E-2</v>
      </c>
      <c r="AC91" s="3">
        <f>AC11/AC5</f>
        <v>-2.2177342529436421E-2</v>
      </c>
      <c r="AF91" s="3">
        <f>AF11/AF5</f>
        <v>0</v>
      </c>
      <c r="AH91" s="3">
        <f>AH11/AH5</f>
        <v>0</v>
      </c>
      <c r="AJ91" s="3">
        <f>AJ11/AJ5</f>
        <v>0</v>
      </c>
      <c r="AL91" s="3">
        <f>AL11/AL5</f>
        <v>0</v>
      </c>
      <c r="AO91" s="3">
        <f>AO11/AO5</f>
        <v>-2.9208727159905591E-3</v>
      </c>
      <c r="AQ91" s="3">
        <f>AQ11/AQ5</f>
        <v>0</v>
      </c>
      <c r="AS91" s="3">
        <f>AS11/AS5</f>
        <v>0</v>
      </c>
      <c r="AU91" s="3">
        <f>AU11/AU5</f>
        <v>0</v>
      </c>
      <c r="AW91" s="3">
        <f>AW11/AW5</f>
        <v>0</v>
      </c>
      <c r="AY91" s="3">
        <f>AY11/AY5</f>
        <v>0</v>
      </c>
      <c r="BA91" s="3">
        <f>BA11/BA5</f>
        <v>0</v>
      </c>
      <c r="BC91" s="3">
        <f>BC11/BC5</f>
        <v>0</v>
      </c>
      <c r="BF91" s="3">
        <f>BF11/BF5</f>
        <v>0</v>
      </c>
      <c r="BI91" s="3">
        <f>BI11/BI5</f>
        <v>0</v>
      </c>
      <c r="BK91" s="3">
        <f>BK11/BK5*-1</f>
        <v>3.7299791086350974E-2</v>
      </c>
      <c r="BN91" s="3">
        <f>BN11/BN5</f>
        <v>0</v>
      </c>
      <c r="BP91" s="3">
        <f>BP11/BP5</f>
        <v>0</v>
      </c>
      <c r="BR91" s="3">
        <f>BR11/BR5</f>
        <v>0</v>
      </c>
      <c r="BU91" s="3">
        <f>BU11/BU5*-1</f>
        <v>1.6308947676815903E-2</v>
      </c>
      <c r="BW91" s="3">
        <f>BW11/BW5</f>
        <v>0</v>
      </c>
      <c r="BZ91" s="3">
        <f>BZ11/BZ5</f>
        <v>0</v>
      </c>
      <c r="CC91" s="3">
        <f>CC11/CC5</f>
        <v>0</v>
      </c>
      <c r="CE91" s="3">
        <f>CE11/CE5</f>
        <v>0</v>
      </c>
      <c r="CH91" s="3">
        <f>CH11/CH5</f>
        <v>0</v>
      </c>
      <c r="CJ91" s="3">
        <f>CJ11/CJ5</f>
        <v>0</v>
      </c>
      <c r="CL91" s="23">
        <v>0</v>
      </c>
      <c r="CM91" s="20"/>
      <c r="CN91" s="3">
        <f>CN11/CN5</f>
        <v>0</v>
      </c>
      <c r="CP91" s="3">
        <f>CP11/CP5</f>
        <v>0</v>
      </c>
      <c r="CR91" s="3">
        <f>CR11/CR5</f>
        <v>0</v>
      </c>
      <c r="CT91" s="3">
        <f>CT11/CT5</f>
        <v>0</v>
      </c>
      <c r="CV91" s="3">
        <f>CV11/CV5</f>
        <v>0</v>
      </c>
      <c r="CX91" s="3">
        <f>CX11/CX5</f>
        <v>0</v>
      </c>
      <c r="CZ91" s="3">
        <f>CZ11/CZ5</f>
        <v>0</v>
      </c>
      <c r="DB91" s="3">
        <f>DB11/DB5</f>
        <v>0</v>
      </c>
      <c r="DD91" s="3">
        <f>DD11/DD5</f>
        <v>0</v>
      </c>
      <c r="DF91" s="3">
        <f>DF11/DF5</f>
        <v>0</v>
      </c>
      <c r="DI91" s="3">
        <f>DI11/DI5</f>
        <v>0</v>
      </c>
      <c r="DK91" s="23">
        <v>0</v>
      </c>
      <c r="DL91" s="20"/>
      <c r="DM91" s="23">
        <v>0</v>
      </c>
      <c r="DN91" s="20"/>
      <c r="DP91" s="23">
        <v>0</v>
      </c>
      <c r="DQ91" s="20"/>
      <c r="DR91" s="23">
        <v>0</v>
      </c>
      <c r="DS91" s="20"/>
      <c r="DU91" s="23">
        <v>0</v>
      </c>
      <c r="DV91" s="20"/>
    </row>
    <row r="92" spans="1:126" hidden="1">
      <c r="A92" s="1" t="s">
        <v>120</v>
      </c>
      <c r="D92" s="1">
        <v>75078</v>
      </c>
      <c r="F92" s="1">
        <v>61000</v>
      </c>
      <c r="I92" s="1">
        <v>76500</v>
      </c>
      <c r="N92" s="1">
        <v>211000</v>
      </c>
      <c r="P92" s="1">
        <f>P94*P95/1000000</f>
        <v>101363.52023174001</v>
      </c>
      <c r="R92" s="1">
        <v>78240</v>
      </c>
      <c r="T92" s="1">
        <f>T95*T94/1000000</f>
        <v>172737.20272960002</v>
      </c>
      <c r="V92" s="1">
        <f>V95*V94/1000000</f>
        <v>44937.544759814991</v>
      </c>
      <c r="X92" s="1">
        <f>X95*X94/1000000</f>
        <v>87971.544639999993</v>
      </c>
      <c r="AF92" s="1">
        <f>AF95*AF94/100000000</f>
        <v>100428.840852594</v>
      </c>
      <c r="AL92" s="1">
        <f>AL95*AL94/1000000</f>
        <v>53884.131098239995</v>
      </c>
      <c r="AO92" s="1">
        <f>AO95*AO94/1000000</f>
        <v>448368.57325401995</v>
      </c>
      <c r="AQ92" s="1">
        <f>AQ95*AQ94/100000</f>
        <v>441828.05015999998</v>
      </c>
      <c r="AS92" s="1">
        <f>AS95*AS94/1000000</f>
        <v>65415.335939999997</v>
      </c>
      <c r="BA92" s="1">
        <f>BA95*BA94/1000000</f>
        <v>46974.62</v>
      </c>
      <c r="BC92" s="1">
        <f>BC95*BC94/1000000</f>
        <v>105878.0084648</v>
      </c>
      <c r="BI92" s="1">
        <f>BI95*BI94/1000000</f>
        <v>67333.439448599995</v>
      </c>
      <c r="BK92" s="1">
        <f>BK95*BK94/1000000</f>
        <v>77373.670969900006</v>
      </c>
      <c r="BU92" s="1">
        <f>BU95*BU94/1000000</f>
        <v>208257.584</v>
      </c>
      <c r="BW92" s="1">
        <v>83800</v>
      </c>
      <c r="CC92" s="1">
        <f>CC95*CC94/1000000</f>
        <v>69002.675279999996</v>
      </c>
      <c r="CE92" s="1">
        <f>CE95*CE94/1000000</f>
        <v>460110.016</v>
      </c>
      <c r="CH92" s="1">
        <v>92800</v>
      </c>
      <c r="CL92" s="1">
        <f>CL95*CL94/1000000</f>
        <v>51302.030603120002</v>
      </c>
      <c r="CN92" s="1">
        <f>CN95*CN94/1000000000</f>
        <v>70538.313999999998</v>
      </c>
      <c r="CP92" s="1">
        <v>207000</v>
      </c>
      <c r="DI92" s="1">
        <f>DI95*DI94/1000</f>
        <v>80434.024109999998</v>
      </c>
    </row>
    <row r="94" spans="1:126" hidden="1">
      <c r="A94" s="1" t="s">
        <v>121</v>
      </c>
      <c r="D94" s="36">
        <v>89.06</v>
      </c>
      <c r="F94" s="36">
        <v>26.56</v>
      </c>
      <c r="I94" s="36">
        <v>62.31</v>
      </c>
      <c r="N94" s="36">
        <v>247.4</v>
      </c>
      <c r="P94" s="36">
        <v>76.540000000000006</v>
      </c>
      <c r="R94" s="36">
        <v>16.12</v>
      </c>
      <c r="T94" s="35">
        <v>71.2</v>
      </c>
      <c r="V94" s="36">
        <v>35.744999999999997</v>
      </c>
      <c r="X94" s="36">
        <v>198.8</v>
      </c>
      <c r="AF94" s="36">
        <v>186.6</v>
      </c>
      <c r="AL94" s="36">
        <v>11.84</v>
      </c>
      <c r="AO94" s="36">
        <v>71.27</v>
      </c>
      <c r="AQ94" s="1">
        <v>2163</v>
      </c>
      <c r="AS94" s="36">
        <v>18</v>
      </c>
      <c r="BA94" s="35">
        <v>12.98</v>
      </c>
      <c r="BC94" s="36">
        <v>44.53</v>
      </c>
      <c r="BI94" s="36">
        <v>132.6</v>
      </c>
      <c r="BK94" s="36">
        <v>127.7</v>
      </c>
      <c r="BU94" s="36">
        <v>64.58</v>
      </c>
      <c r="BW94" s="36">
        <v>63.96</v>
      </c>
      <c r="CC94" s="36">
        <v>110.7</v>
      </c>
      <c r="CE94" s="36">
        <v>278</v>
      </c>
      <c r="CH94" s="36">
        <v>204.15</v>
      </c>
      <c r="CL94" s="36">
        <v>85.22</v>
      </c>
      <c r="CN94" s="36">
        <v>56.65</v>
      </c>
      <c r="CP94" s="36">
        <v>10.99</v>
      </c>
      <c r="CQ94" s="1" t="s">
        <v>155</v>
      </c>
      <c r="DI94" s="36">
        <v>56.43</v>
      </c>
    </row>
    <row r="95" spans="1:126" hidden="1">
      <c r="A95" s="1" t="s">
        <v>122</v>
      </c>
      <c r="D95" s="1">
        <v>881000000</v>
      </c>
      <c r="F95" s="1">
        <v>2300649304</v>
      </c>
      <c r="I95" s="1">
        <v>1229000000</v>
      </c>
      <c r="N95" s="1">
        <v>160000000</v>
      </c>
      <c r="P95" s="1">
        <v>1324320881</v>
      </c>
      <c r="R95" s="1">
        <v>5342206696</v>
      </c>
      <c r="T95" s="1">
        <v>2426084308</v>
      </c>
      <c r="V95" s="1">
        <v>1257170087</v>
      </c>
      <c r="X95" s="1">
        <v>442512800</v>
      </c>
      <c r="AF95" s="1">
        <v>53820386309</v>
      </c>
      <c r="AL95" s="1">
        <v>4551024586</v>
      </c>
      <c r="AO95" s="1">
        <v>6291126326</v>
      </c>
      <c r="AQ95" s="1">
        <v>20426632</v>
      </c>
      <c r="AS95" s="1">
        <v>3634185330</v>
      </c>
      <c r="BA95" s="1">
        <v>3619000000</v>
      </c>
      <c r="BC95" s="1">
        <v>2377678160</v>
      </c>
      <c r="BI95" s="1">
        <v>507793661</v>
      </c>
      <c r="BK95" s="1">
        <v>605901887</v>
      </c>
      <c r="BU95" s="1">
        <v>3224800000</v>
      </c>
      <c r="BW95" s="1">
        <v>1310156361</v>
      </c>
      <c r="CC95" s="1">
        <v>623330400</v>
      </c>
      <c r="CE95" s="1">
        <v>1655072000</v>
      </c>
      <c r="CH95" s="1">
        <v>295089818</v>
      </c>
      <c r="CL95" s="1">
        <v>601995196</v>
      </c>
      <c r="CN95" s="1">
        <v>1245160000000</v>
      </c>
      <c r="CP95" s="1">
        <v>18830007039</v>
      </c>
      <c r="DI95" s="1">
        <v>1425377</v>
      </c>
    </row>
    <row r="96" spans="1:126" hidden="1">
      <c r="A96" s="1" t="s">
        <v>123</v>
      </c>
      <c r="D96" s="36">
        <v>3</v>
      </c>
      <c r="F96" s="36">
        <v>0.78</v>
      </c>
      <c r="I96" s="36">
        <v>1</v>
      </c>
      <c r="N96" s="36">
        <v>7.8</v>
      </c>
      <c r="P96" s="36">
        <v>2.8</v>
      </c>
      <c r="R96" s="1">
        <v>78</v>
      </c>
      <c r="T96" s="36">
        <v>2.4500000000000002</v>
      </c>
      <c r="V96" s="36">
        <v>2.8</v>
      </c>
      <c r="X96" s="36">
        <v>4.5</v>
      </c>
      <c r="AF96" s="36">
        <v>10.19</v>
      </c>
      <c r="AL96" s="36">
        <v>0.35</v>
      </c>
      <c r="AO96" s="36">
        <v>1.8</v>
      </c>
      <c r="AQ96" s="35">
        <v>23.4</v>
      </c>
      <c r="AS96" s="36">
        <v>1.1000000000000001</v>
      </c>
      <c r="BA96" s="36">
        <v>28.75</v>
      </c>
      <c r="BC96" s="36">
        <v>2.38</v>
      </c>
      <c r="BI96" s="36">
        <v>3</v>
      </c>
      <c r="BK96" s="36">
        <v>2.5</v>
      </c>
      <c r="BU96" s="36">
        <v>2.15</v>
      </c>
      <c r="BW96" s="36">
        <v>1.05</v>
      </c>
      <c r="CC96" s="36">
        <v>2.42</v>
      </c>
      <c r="CE96" s="36">
        <v>9.5</v>
      </c>
      <c r="CH96" s="36">
        <v>4</v>
      </c>
      <c r="CL96" s="36">
        <v>2.62</v>
      </c>
      <c r="CN96" s="36">
        <v>1.5</v>
      </c>
      <c r="CP96" s="36">
        <v>0.48</v>
      </c>
      <c r="DI96" s="1">
        <v>192</v>
      </c>
    </row>
    <row r="97" spans="1:113" hidden="1">
      <c r="F97" s="43" t="s">
        <v>126</v>
      </c>
      <c r="BA97" s="43" t="s">
        <v>150</v>
      </c>
    </row>
    <row r="98" spans="1:113" hidden="1">
      <c r="A98" s="1" t="s">
        <v>156</v>
      </c>
      <c r="AO98" s="1">
        <v>30781</v>
      </c>
      <c r="AQ98" s="1">
        <v>28203</v>
      </c>
      <c r="AS98" s="1">
        <v>7939</v>
      </c>
      <c r="BA98" s="1">
        <v>792</v>
      </c>
      <c r="BC98" s="1">
        <v>17397</v>
      </c>
      <c r="DI98" s="1">
        <v>6375</v>
      </c>
    </row>
    <row r="99" spans="1:113" hidden="1">
      <c r="A99" s="1" t="s">
        <v>157</v>
      </c>
      <c r="AO99" s="4">
        <v>353199</v>
      </c>
      <c r="AQ99" s="4">
        <v>298351</v>
      </c>
      <c r="AS99" s="4">
        <f>67004+17711</f>
        <v>84715</v>
      </c>
      <c r="BA99" s="4">
        <v>3062</v>
      </c>
      <c r="BC99" s="4">
        <v>121113</v>
      </c>
      <c r="DI99" s="4">
        <v>8801</v>
      </c>
    </row>
    <row r="100" spans="1:113" hidden="1">
      <c r="A100" s="1" t="s">
        <v>158</v>
      </c>
      <c r="AO100" s="1">
        <f>SUM(AO98:AO99)</f>
        <v>383980</v>
      </c>
      <c r="AQ100" s="1">
        <f>SUM(AQ98:AQ99)</f>
        <v>326554</v>
      </c>
      <c r="AS100" s="1">
        <f>SUM(AS98:AS99)</f>
        <v>92654</v>
      </c>
      <c r="BA100" s="1">
        <f>SUM(BA98:BA99)</f>
        <v>3854</v>
      </c>
      <c r="BC100" s="1">
        <f>SUM(BC98:BC99)</f>
        <v>138510</v>
      </c>
      <c r="DI100" s="1">
        <f>SUM(DI98:DI99)</f>
        <v>15176</v>
      </c>
    </row>
    <row r="101" spans="1:113" hidden="1">
      <c r="A101" s="1" t="s">
        <v>0</v>
      </c>
      <c r="AO101" s="4">
        <v>-30009</v>
      </c>
      <c r="AQ101" s="4">
        <v>-29231</v>
      </c>
      <c r="AS101" s="4">
        <v>-8578</v>
      </c>
      <c r="BA101" s="4">
        <v>-838</v>
      </c>
      <c r="BC101" s="4">
        <v>-16023</v>
      </c>
      <c r="DI101" s="4">
        <v>-5737</v>
      </c>
    </row>
    <row r="102" spans="1:113" hidden="1">
      <c r="A102" s="1" t="s">
        <v>159</v>
      </c>
      <c r="AO102" s="1">
        <f>SUM(AO100:AO101)</f>
        <v>353971</v>
      </c>
      <c r="AQ102" s="1">
        <f>SUM(AQ100:AQ101)</f>
        <v>297323</v>
      </c>
      <c r="AS102" s="1">
        <f>SUM(AS100:AS101)</f>
        <v>84076</v>
      </c>
      <c r="BA102" s="1">
        <f>SUM(BA100:BA101)</f>
        <v>3016</v>
      </c>
      <c r="BC102" s="1">
        <f>SUM(BC100:BC101)</f>
        <v>122487</v>
      </c>
      <c r="DI102" s="1">
        <f>SUM(DI100:DI101)</f>
        <v>9439</v>
      </c>
    </row>
    <row r="103" spans="1:113" hidden="1">
      <c r="AQ103" s="1">
        <v>298351</v>
      </c>
    </row>
  </sheetData>
  <mergeCells count="14">
    <mergeCell ref="AO2:BD2"/>
    <mergeCell ref="B2:G2"/>
    <mergeCell ref="I2:L2"/>
    <mergeCell ref="N2:Y2"/>
    <mergeCell ref="AA2:AD2"/>
    <mergeCell ref="AF2:AM2"/>
    <mergeCell ref="DI2:DN2"/>
    <mergeCell ref="DP2:DS2"/>
    <mergeCell ref="BI2:BL2"/>
    <mergeCell ref="BN2:BS2"/>
    <mergeCell ref="BU2:BX2"/>
    <mergeCell ref="CC2:CF2"/>
    <mergeCell ref="CH2:CM2"/>
    <mergeCell ref="CP2:DG2"/>
  </mergeCells>
  <phoneticPr fontId="7" type="noConversion"/>
  <pageMargins left="0.75000000000000011" right="0.75000000000000011" top="1" bottom="1" header="0.5" footer="0.5"/>
  <pageSetup paperSize="9" scale="61" orientation="landscape" horizontalDpi="4294967292" verticalDpi="4294967292"/>
  <headerFooter>
    <oddHeader>&amp;L&amp;"Calibri,Regular"&amp;K000000 Session 3 SM 4 Common size analysis by sector</oddHeader>
    <oddFooter>&amp;L&amp;"Calibri,Regular"&amp;K000000A86045 Accounting and Financial Reporting&amp;R&amp;"Calibri,Regular"&amp;K000000Paul G. Smith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and ratios</vt:lpstr>
      <vt:lpstr>Summary ratios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Paul Smith</cp:lastModifiedBy>
  <cp:lastPrinted>2018-01-29T15:53:48Z</cp:lastPrinted>
  <dcterms:created xsi:type="dcterms:W3CDTF">2014-01-16T09:44:58Z</dcterms:created>
  <dcterms:modified xsi:type="dcterms:W3CDTF">2018-01-29T15:54:59Z</dcterms:modified>
</cp:coreProperties>
</file>