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3280" yWindow="0" windowWidth="30360" windowHeight="22700" tabRatio="500"/>
  </bookViews>
  <sheets>
    <sheet name="Completed Template" sheetId="1" r:id="rId1"/>
    <sheet name="Data Template" sheetId="2" r:id="rId2"/>
    <sheet name="One Year" sheetId="3" r:id="rId3"/>
  </sheets>
  <definedNames>
    <definedName name="_xlnm.Print_Area" localSheetId="0">'Completed Template'!$A$1:$O$56</definedName>
    <definedName name="_xlnm.Print_Area" localSheetId="1">'Data Template'!$A$1:$N$56</definedName>
    <definedName name="_xlnm.Print_Area" localSheetId="2">'One Year'!$A$1:$Q$56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1" l="1"/>
  <c r="C56" i="1"/>
  <c r="C56" i="3"/>
  <c r="C55" i="2"/>
  <c r="L22" i="2"/>
  <c r="L24" i="2"/>
  <c r="C54" i="2"/>
  <c r="C53" i="2"/>
  <c r="C52" i="2"/>
  <c r="C49" i="2"/>
  <c r="C48" i="2"/>
  <c r="C47" i="2"/>
  <c r="C44" i="2"/>
  <c r="C46" i="2"/>
  <c r="C45" i="2"/>
  <c r="C41" i="2"/>
  <c r="C40" i="2"/>
  <c r="C39" i="2"/>
  <c r="C38" i="2"/>
  <c r="C37" i="2"/>
  <c r="L34" i="2"/>
  <c r="C34" i="2"/>
  <c r="C33" i="2"/>
  <c r="C30" i="2"/>
  <c r="C29" i="2"/>
  <c r="C28" i="2"/>
  <c r="C27" i="2"/>
  <c r="C26" i="2"/>
  <c r="E48" i="1"/>
  <c r="K49" i="2"/>
  <c r="L48" i="2"/>
  <c r="N48" i="2"/>
  <c r="K48" i="2"/>
  <c r="K47" i="2"/>
  <c r="K46" i="2"/>
  <c r="L43" i="2"/>
  <c r="K43" i="2"/>
  <c r="K42" i="2"/>
  <c r="K40" i="2"/>
  <c r="K38" i="2"/>
  <c r="K37" i="2"/>
  <c r="K36" i="2"/>
  <c r="K34" i="2"/>
  <c r="K33" i="2"/>
  <c r="K32" i="2"/>
  <c r="K30" i="2"/>
  <c r="K29" i="2"/>
  <c r="K28" i="2"/>
  <c r="K27" i="2"/>
  <c r="K24" i="2"/>
  <c r="K22" i="2"/>
  <c r="K21" i="2"/>
  <c r="K20" i="2"/>
  <c r="K18" i="2"/>
  <c r="K17" i="2"/>
  <c r="K16" i="2"/>
  <c r="K15" i="2"/>
  <c r="K13" i="2"/>
  <c r="K12" i="2"/>
  <c r="K11" i="2"/>
  <c r="K10" i="2"/>
  <c r="K9" i="2"/>
  <c r="K8" i="2"/>
  <c r="K7" i="2"/>
  <c r="K6" i="2"/>
  <c r="L41" i="2"/>
  <c r="L18" i="2"/>
  <c r="L13" i="2"/>
  <c r="L9" i="2"/>
  <c r="E8" i="2"/>
  <c r="E10" i="2"/>
  <c r="E16" i="2"/>
  <c r="E19" i="2"/>
  <c r="E21" i="2"/>
  <c r="E23" i="2"/>
  <c r="G8" i="2"/>
  <c r="G10" i="2"/>
  <c r="G16" i="2"/>
  <c r="G19" i="2"/>
  <c r="G21" i="2"/>
  <c r="G23" i="2"/>
  <c r="G8" i="1"/>
  <c r="G10" i="1"/>
  <c r="G16" i="1"/>
  <c r="G49" i="1"/>
  <c r="E8" i="1"/>
  <c r="E10" i="1"/>
  <c r="E16" i="1"/>
  <c r="E49" i="1"/>
  <c r="C48" i="1"/>
  <c r="N13" i="1"/>
  <c r="E37" i="1"/>
  <c r="L9" i="1"/>
  <c r="L13" i="1"/>
  <c r="C37" i="1"/>
  <c r="E30" i="1"/>
  <c r="C8" i="1"/>
  <c r="C10" i="1"/>
  <c r="C16" i="1"/>
  <c r="C30" i="1"/>
  <c r="G19" i="1"/>
  <c r="G21" i="1"/>
  <c r="G23" i="1"/>
  <c r="G28" i="1"/>
  <c r="G27" i="1"/>
  <c r="G26" i="1"/>
  <c r="E19" i="1"/>
  <c r="E21" i="1"/>
  <c r="E23" i="1"/>
  <c r="E28" i="1"/>
  <c r="E27" i="1"/>
  <c r="E26" i="1"/>
  <c r="C19" i="1"/>
  <c r="C21" i="1"/>
  <c r="C23" i="1"/>
  <c r="C28" i="1"/>
  <c r="C27" i="1"/>
  <c r="C26" i="1"/>
  <c r="E44" i="1"/>
  <c r="C44" i="1"/>
  <c r="C44" i="3"/>
  <c r="C49" i="3"/>
  <c r="C48" i="3"/>
  <c r="C37" i="3"/>
  <c r="C28" i="3"/>
  <c r="C27" i="3"/>
  <c r="C26" i="3"/>
  <c r="G55" i="3"/>
  <c r="E55" i="3"/>
  <c r="C55" i="3"/>
  <c r="Q22" i="3"/>
  <c r="Q13" i="3"/>
  <c r="Q24" i="3"/>
  <c r="G54" i="3"/>
  <c r="O22" i="3"/>
  <c r="O13" i="3"/>
  <c r="O24" i="3"/>
  <c r="E54" i="3"/>
  <c r="M18" i="3"/>
  <c r="M22" i="3"/>
  <c r="M9" i="3"/>
  <c r="M13" i="3"/>
  <c r="M24" i="3"/>
  <c r="C54" i="3"/>
  <c r="G8" i="3"/>
  <c r="G53" i="3"/>
  <c r="E8" i="3"/>
  <c r="E53" i="3"/>
  <c r="C8" i="3"/>
  <c r="C53" i="3"/>
  <c r="G10" i="3"/>
  <c r="G16" i="3"/>
  <c r="G19" i="3"/>
  <c r="G52" i="3"/>
  <c r="E10" i="3"/>
  <c r="E16" i="3"/>
  <c r="E19" i="3"/>
  <c r="E52" i="3"/>
  <c r="C10" i="3"/>
  <c r="C16" i="3"/>
  <c r="C19" i="3"/>
  <c r="C52" i="3"/>
  <c r="N49" i="3"/>
  <c r="L49" i="3"/>
  <c r="G49" i="3"/>
  <c r="E49" i="3"/>
  <c r="Q48" i="3"/>
  <c r="O48" i="3"/>
  <c r="N48" i="3"/>
  <c r="M48" i="3"/>
  <c r="L48" i="3"/>
  <c r="G48" i="3"/>
  <c r="E48" i="3"/>
  <c r="N47" i="3"/>
  <c r="L47" i="3"/>
  <c r="G47" i="3"/>
  <c r="E47" i="3"/>
  <c r="C47" i="3"/>
  <c r="N46" i="3"/>
  <c r="L46" i="3"/>
  <c r="G46" i="3"/>
  <c r="E46" i="3"/>
  <c r="C46" i="3"/>
  <c r="G45" i="3"/>
  <c r="E45" i="3"/>
  <c r="C45" i="3"/>
  <c r="Q34" i="3"/>
  <c r="Q41" i="3"/>
  <c r="Q43" i="3"/>
  <c r="O34" i="3"/>
  <c r="O41" i="3"/>
  <c r="O43" i="3"/>
  <c r="N43" i="3"/>
  <c r="M34" i="3"/>
  <c r="M41" i="3"/>
  <c r="M43" i="3"/>
  <c r="L43" i="3"/>
  <c r="N42" i="3"/>
  <c r="L42" i="3"/>
  <c r="G41" i="3"/>
  <c r="E41" i="3"/>
  <c r="C41" i="3"/>
  <c r="N40" i="3"/>
  <c r="L40" i="3"/>
  <c r="G40" i="3"/>
  <c r="E40" i="3"/>
  <c r="C40" i="3"/>
  <c r="N39" i="3"/>
  <c r="L39" i="3"/>
  <c r="G39" i="3"/>
  <c r="E39" i="3"/>
  <c r="C39" i="3"/>
  <c r="N38" i="3"/>
  <c r="L38" i="3"/>
  <c r="G38" i="3"/>
  <c r="E38" i="3"/>
  <c r="C38" i="3"/>
  <c r="N37" i="3"/>
  <c r="L37" i="3"/>
  <c r="G37" i="3"/>
  <c r="E37" i="3"/>
  <c r="N36" i="3"/>
  <c r="L36" i="3"/>
  <c r="N34" i="3"/>
  <c r="L34" i="3"/>
  <c r="G34" i="3"/>
  <c r="E34" i="3"/>
  <c r="C34" i="3"/>
  <c r="N33" i="3"/>
  <c r="L33" i="3"/>
  <c r="G33" i="3"/>
  <c r="E33" i="3"/>
  <c r="C33" i="3"/>
  <c r="N32" i="3"/>
  <c r="L32" i="3"/>
  <c r="N31" i="3"/>
  <c r="L31" i="3"/>
  <c r="N30" i="3"/>
  <c r="L30" i="3"/>
  <c r="G30" i="3"/>
  <c r="E30" i="3"/>
  <c r="C30" i="3"/>
  <c r="N29" i="3"/>
  <c r="L29" i="3"/>
  <c r="G21" i="3"/>
  <c r="G23" i="3"/>
  <c r="G29" i="3"/>
  <c r="E21" i="3"/>
  <c r="E23" i="3"/>
  <c r="E29" i="3"/>
  <c r="C21" i="3"/>
  <c r="C23" i="3"/>
  <c r="C29" i="3"/>
  <c r="N28" i="3"/>
  <c r="L28" i="3"/>
  <c r="G28" i="3"/>
  <c r="E28" i="3"/>
  <c r="N27" i="3"/>
  <c r="L27" i="3"/>
  <c r="G27" i="3"/>
  <c r="E27" i="3"/>
  <c r="G26" i="3"/>
  <c r="E26" i="3"/>
  <c r="N24" i="3"/>
  <c r="L24" i="3"/>
  <c r="I8" i="3"/>
  <c r="I10" i="3"/>
  <c r="I16" i="3"/>
  <c r="I19" i="3"/>
  <c r="I21" i="3"/>
  <c r="I23" i="3"/>
  <c r="F23" i="3"/>
  <c r="D23" i="3"/>
  <c r="B23" i="3"/>
  <c r="N22" i="3"/>
  <c r="L22" i="3"/>
  <c r="F22" i="3"/>
  <c r="D22" i="3"/>
  <c r="B22" i="3"/>
  <c r="N21" i="3"/>
  <c r="L21" i="3"/>
  <c r="F21" i="3"/>
  <c r="D21" i="3"/>
  <c r="B21" i="3"/>
  <c r="N20" i="3"/>
  <c r="L20" i="3"/>
  <c r="F20" i="3"/>
  <c r="D20" i="3"/>
  <c r="B20" i="3"/>
  <c r="N19" i="3"/>
  <c r="L19" i="3"/>
  <c r="F19" i="3"/>
  <c r="D19" i="3"/>
  <c r="B19" i="3"/>
  <c r="N18" i="3"/>
  <c r="L18" i="3"/>
  <c r="F18" i="3"/>
  <c r="D18" i="3"/>
  <c r="B18" i="3"/>
  <c r="N17" i="3"/>
  <c r="L17" i="3"/>
  <c r="F17" i="3"/>
  <c r="D17" i="3"/>
  <c r="B17" i="3"/>
  <c r="N16" i="3"/>
  <c r="L16" i="3"/>
  <c r="F16" i="3"/>
  <c r="D16" i="3"/>
  <c r="B16" i="3"/>
  <c r="N15" i="3"/>
  <c r="L15" i="3"/>
  <c r="F15" i="3"/>
  <c r="D15" i="3"/>
  <c r="B15" i="3"/>
  <c r="F14" i="3"/>
  <c r="D14" i="3"/>
  <c r="B14" i="3"/>
  <c r="N13" i="3"/>
  <c r="L13" i="3"/>
  <c r="F13" i="3"/>
  <c r="D13" i="3"/>
  <c r="B13" i="3"/>
  <c r="N12" i="3"/>
  <c r="L12" i="3"/>
  <c r="N11" i="3"/>
  <c r="L11" i="3"/>
  <c r="N10" i="3"/>
  <c r="L10" i="3"/>
  <c r="F10" i="3"/>
  <c r="D10" i="3"/>
  <c r="B10" i="3"/>
  <c r="N9" i="3"/>
  <c r="L9" i="3"/>
  <c r="F9" i="3"/>
  <c r="D9" i="3"/>
  <c r="B9" i="3"/>
  <c r="N8" i="3"/>
  <c r="L8" i="3"/>
  <c r="F8" i="3"/>
  <c r="D8" i="3"/>
  <c r="B8" i="3"/>
  <c r="N7" i="3"/>
  <c r="L7" i="3"/>
  <c r="F7" i="3"/>
  <c r="D7" i="3"/>
  <c r="B7" i="3"/>
  <c r="N6" i="3"/>
  <c r="L6" i="3"/>
  <c r="F6" i="3"/>
  <c r="D6" i="3"/>
  <c r="B6" i="3"/>
  <c r="L48" i="1"/>
  <c r="L18" i="1"/>
  <c r="K49" i="1"/>
  <c r="N48" i="1"/>
  <c r="K48" i="1"/>
  <c r="K47" i="1"/>
  <c r="K46" i="1"/>
  <c r="L34" i="1"/>
  <c r="L41" i="1"/>
  <c r="L43" i="1"/>
  <c r="N34" i="1"/>
  <c r="N41" i="1"/>
  <c r="N43" i="1"/>
  <c r="K43" i="1"/>
  <c r="K42" i="1"/>
  <c r="K40" i="1"/>
  <c r="K38" i="1"/>
  <c r="K37" i="1"/>
  <c r="K36" i="1"/>
  <c r="K34" i="1"/>
  <c r="K33" i="1"/>
  <c r="K32" i="1"/>
  <c r="K30" i="1"/>
  <c r="K29" i="1"/>
  <c r="K28" i="1"/>
  <c r="K27" i="1"/>
  <c r="L22" i="1"/>
  <c r="L24" i="1"/>
  <c r="N22" i="1"/>
  <c r="N24" i="1"/>
  <c r="K24" i="1"/>
  <c r="K22" i="1"/>
  <c r="K21" i="1"/>
  <c r="K20" i="1"/>
  <c r="K18" i="1"/>
  <c r="K17" i="1"/>
  <c r="K16" i="1"/>
  <c r="K15" i="1"/>
  <c r="K13" i="1"/>
  <c r="K12" i="1"/>
  <c r="K11" i="1"/>
  <c r="K10" i="1"/>
  <c r="K9" i="1"/>
  <c r="K8" i="1"/>
  <c r="K7" i="1"/>
  <c r="K6" i="1"/>
  <c r="C55" i="1"/>
  <c r="C54" i="1"/>
  <c r="C53" i="1"/>
  <c r="C52" i="1"/>
  <c r="C49" i="1"/>
  <c r="C47" i="1"/>
  <c r="C46" i="1"/>
  <c r="C45" i="1"/>
  <c r="C41" i="1"/>
  <c r="C40" i="1"/>
  <c r="C39" i="1"/>
  <c r="C38" i="1"/>
  <c r="C34" i="1"/>
  <c r="C33" i="1"/>
  <c r="C29" i="1"/>
  <c r="B23" i="1"/>
  <c r="B22" i="1"/>
  <c r="B21" i="1"/>
  <c r="B20" i="1"/>
  <c r="B19" i="1"/>
  <c r="B18" i="1"/>
  <c r="B17" i="1"/>
  <c r="B16" i="1"/>
  <c r="B14" i="1"/>
  <c r="B13" i="1"/>
  <c r="B10" i="1"/>
  <c r="B9" i="1"/>
  <c r="B8" i="1"/>
  <c r="B7" i="1"/>
  <c r="B6" i="1"/>
  <c r="N22" i="2"/>
  <c r="N13" i="2"/>
  <c r="N24" i="2"/>
  <c r="C8" i="2"/>
  <c r="C10" i="2"/>
  <c r="C16" i="2"/>
  <c r="C19" i="2"/>
  <c r="N34" i="2"/>
  <c r="N41" i="2"/>
  <c r="N43" i="2"/>
  <c r="C21" i="2"/>
  <c r="C23" i="2"/>
  <c r="D23" i="2"/>
  <c r="B23" i="2"/>
  <c r="D22" i="2"/>
  <c r="B22" i="2"/>
  <c r="D21" i="2"/>
  <c r="B21" i="2"/>
  <c r="D20" i="2"/>
  <c r="B20" i="2"/>
  <c r="D19" i="2"/>
  <c r="B19" i="2"/>
  <c r="D18" i="2"/>
  <c r="B18" i="2"/>
  <c r="D17" i="2"/>
  <c r="B17" i="2"/>
  <c r="D16" i="2"/>
  <c r="B16" i="2"/>
  <c r="D15" i="2"/>
  <c r="B15" i="2"/>
  <c r="D14" i="2"/>
  <c r="B14" i="2"/>
  <c r="D13" i="2"/>
  <c r="B13" i="2"/>
  <c r="D10" i="2"/>
  <c r="B10" i="2"/>
  <c r="D9" i="2"/>
  <c r="B9" i="2"/>
  <c r="D8" i="2"/>
  <c r="B8" i="2"/>
  <c r="D7" i="2"/>
  <c r="B7" i="2"/>
  <c r="D6" i="2"/>
  <c r="B6" i="2"/>
  <c r="D23" i="1"/>
  <c r="D22" i="1"/>
  <c r="D21" i="1"/>
  <c r="D20" i="1"/>
  <c r="D19" i="1"/>
  <c r="D18" i="1"/>
  <c r="D17" i="1"/>
  <c r="D16" i="1"/>
  <c r="D14" i="1"/>
  <c r="D13" i="1"/>
  <c r="D10" i="1"/>
  <c r="D9" i="1"/>
  <c r="D8" i="1"/>
  <c r="D7" i="1"/>
  <c r="D6" i="1"/>
  <c r="G53" i="1"/>
  <c r="G52" i="1"/>
  <c r="E55" i="1"/>
  <c r="E54" i="1"/>
  <c r="E53" i="1"/>
  <c r="E52" i="1"/>
  <c r="E47" i="1"/>
  <c r="E46" i="1"/>
  <c r="E45" i="1"/>
  <c r="E41" i="1"/>
  <c r="E40" i="1"/>
  <c r="E39" i="1"/>
  <c r="E38" i="1"/>
  <c r="E34" i="1"/>
  <c r="E33" i="1"/>
  <c r="E29" i="1"/>
</calcChain>
</file>

<file path=xl/sharedStrings.xml><?xml version="1.0" encoding="utf-8"?>
<sst xmlns="http://schemas.openxmlformats.org/spreadsheetml/2006/main" count="317" uniqueCount="90">
  <si>
    <t>Income Statement</t>
  </si>
  <si>
    <t>Cost of sales</t>
  </si>
  <si>
    <t>Gross profit</t>
  </si>
  <si>
    <t>Research &amp; development</t>
  </si>
  <si>
    <t>Selling, general and administrative expenses</t>
  </si>
  <si>
    <t>Operating profit</t>
  </si>
  <si>
    <t>Finance income (expense)</t>
  </si>
  <si>
    <t>Share of result of associated companies</t>
  </si>
  <si>
    <t>Income tax</t>
  </si>
  <si>
    <t>Net profit</t>
  </si>
  <si>
    <t>€ millions</t>
  </si>
  <si>
    <t>Statement of financial position</t>
  </si>
  <si>
    <t>Non-current assets</t>
  </si>
  <si>
    <t>Intangible assets</t>
  </si>
  <si>
    <t>Property, plant &amp; equipment</t>
  </si>
  <si>
    <t>Deferred taxes</t>
  </si>
  <si>
    <t xml:space="preserve">Other </t>
  </si>
  <si>
    <t>Current assets</t>
  </si>
  <si>
    <t>Trade receivables</t>
  </si>
  <si>
    <t>Other current assets</t>
  </si>
  <si>
    <t>Total assets</t>
  </si>
  <si>
    <t>Current liabilities</t>
  </si>
  <si>
    <t>Trade payables</t>
  </si>
  <si>
    <t>Provisions</t>
  </si>
  <si>
    <t>Other current liabilities</t>
  </si>
  <si>
    <t>Non-current liabilities</t>
  </si>
  <si>
    <t>Pensions and employee benefits</t>
  </si>
  <si>
    <t>Shareholders' equity</t>
  </si>
  <si>
    <t>Total equity and liabilities</t>
  </si>
  <si>
    <t>Research assignment template</t>
  </si>
  <si>
    <t>Profitability</t>
  </si>
  <si>
    <t>Gross margin</t>
  </si>
  <si>
    <t>Operating margin</t>
  </si>
  <si>
    <t>Asset Turnover</t>
  </si>
  <si>
    <t>Inventory turnover</t>
  </si>
  <si>
    <t>Liquidity</t>
  </si>
  <si>
    <t>Current ratio</t>
  </si>
  <si>
    <t>Quick ratio</t>
  </si>
  <si>
    <t>Other</t>
  </si>
  <si>
    <t>Effective tax rate</t>
  </si>
  <si>
    <t>Intangibles as a % of total assets</t>
  </si>
  <si>
    <t>Intangibles as a % of equity</t>
  </si>
  <si>
    <t>Number of shares outstanding</t>
  </si>
  <si>
    <t>2013</t>
  </si>
  <si>
    <t>2012</t>
  </si>
  <si>
    <t>2011</t>
  </si>
  <si>
    <t>Other income (expense)</t>
  </si>
  <si>
    <t>Pre-tax profit</t>
  </si>
  <si>
    <t>Net profit continuing operations</t>
  </si>
  <si>
    <t>Discontinued operations</t>
  </si>
  <si>
    <t>Operating expenses</t>
  </si>
  <si>
    <t>Goodwill</t>
  </si>
  <si>
    <t>Investments</t>
  </si>
  <si>
    <t>Inventories/Long-term contracts</t>
  </si>
  <si>
    <t>Cash</t>
  </si>
  <si>
    <t>Assets held for disposal</t>
  </si>
  <si>
    <t>Liabilities held for disposal</t>
  </si>
  <si>
    <t>Net profit margin</t>
  </si>
  <si>
    <t>Return on Capital employed (ROCE)</t>
  </si>
  <si>
    <t>Inventory holding period (DOI)</t>
  </si>
  <si>
    <t>Trade receivables collection period (DSO)</t>
  </si>
  <si>
    <t>Trade payable payment period (DPO)</t>
  </si>
  <si>
    <t>Efficiency ratios</t>
  </si>
  <si>
    <t>Investment ratios</t>
  </si>
  <si>
    <t>Earnings per share (EPS)</t>
  </si>
  <si>
    <t>Price Earnings ratio (P/E)</t>
  </si>
  <si>
    <t>Dividend cover</t>
  </si>
  <si>
    <t>Dividend yield</t>
  </si>
  <si>
    <t>Debt/Equity ratio (Gearing)</t>
  </si>
  <si>
    <t>Interest cover</t>
  </si>
  <si>
    <t>R&amp;D as a % of revenues</t>
  </si>
  <si>
    <t>Share price</t>
  </si>
  <si>
    <t>Market capitalization</t>
  </si>
  <si>
    <t>Net sales</t>
  </si>
  <si>
    <t>Other revenues</t>
  </si>
  <si>
    <t>Total revenues</t>
  </si>
  <si>
    <t>Depreciation, ammortization and provisions</t>
  </si>
  <si>
    <t>Loans and advances to customers</t>
  </si>
  <si>
    <t>Short-term investments</t>
  </si>
  <si>
    <t>Short-term Borrowings</t>
  </si>
  <si>
    <t>Consumer credit finance</t>
  </si>
  <si>
    <t>Income taxes</t>
  </si>
  <si>
    <t>Long-term Borrowings</t>
  </si>
  <si>
    <t>Dividend per share</t>
  </si>
  <si>
    <t>Return on equity</t>
  </si>
  <si>
    <t>% Change</t>
  </si>
  <si>
    <t>On PY</t>
  </si>
  <si>
    <t>Company</t>
  </si>
  <si>
    <t>2014</t>
  </si>
  <si>
    <t>Market Capitalization as a % of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</si>
</sst>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;\(#,##0\)"/>
    <numFmt numFmtId="165" formatCode="#,##0.0;\(#,##0.0\)"/>
    <numFmt numFmtId="166" formatCode="#,##0.00;\(#,##0.00\)"/>
    <numFmt numFmtId="167" formatCode="0.0"/>
    <numFmt numFmtId="168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366FF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3366FF"/>
      <name val="Calibri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0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9" fontId="0" fillId="0" borderId="0" xfId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/>
    <xf numFmtId="164" fontId="3" fillId="0" borderId="0" xfId="0" applyNumberFormat="1" applyFont="1"/>
    <xf numFmtId="164" fontId="4" fillId="0" borderId="0" xfId="0" applyNumberFormat="1" applyFont="1" applyAlignment="1">
      <alignment horizontal="right"/>
    </xf>
    <xf numFmtId="164" fontId="2" fillId="0" borderId="0" xfId="0" applyNumberFormat="1" applyFont="1"/>
    <xf numFmtId="164" fontId="0" fillId="0" borderId="0" xfId="0" applyNumberFormat="1" applyBorder="1"/>
    <xf numFmtId="164" fontId="0" fillId="0" borderId="0" xfId="0" applyNumberFormat="1" applyAlignment="1">
      <alignment horizontal="right"/>
    </xf>
    <xf numFmtId="164" fontId="8" fillId="0" borderId="0" xfId="0" applyNumberFormat="1" applyFont="1" applyAlignment="1">
      <alignment horizontal="center"/>
    </xf>
    <xf numFmtId="9" fontId="0" fillId="0" borderId="0" xfId="1" applyFont="1"/>
    <xf numFmtId="165" fontId="0" fillId="0" borderId="0" xfId="0" applyNumberFormat="1"/>
    <xf numFmtId="49" fontId="2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3" xfId="0" applyNumberFormat="1" applyBorder="1"/>
    <xf numFmtId="166" fontId="0" fillId="0" borderId="1" xfId="0" applyNumberFormat="1" applyBorder="1"/>
    <xf numFmtId="167" fontId="0" fillId="0" borderId="0" xfId="1" applyNumberFormat="1" applyFont="1"/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9" fontId="9" fillId="0" borderId="0" xfId="1" applyFont="1" applyAlignment="1">
      <alignment horizontal="center"/>
    </xf>
    <xf numFmtId="164" fontId="9" fillId="0" borderId="0" xfId="0" applyNumberFormat="1" applyFont="1"/>
    <xf numFmtId="168" fontId="0" fillId="0" borderId="0" xfId="1" applyNumberFormat="1" applyFont="1"/>
    <xf numFmtId="164" fontId="8" fillId="0" borderId="1" xfId="0" applyNumberFormat="1" applyFont="1" applyBorder="1"/>
    <xf numFmtId="164" fontId="8" fillId="0" borderId="0" xfId="0" applyNumberFormat="1" applyFont="1"/>
  </cellXfs>
  <cellStyles count="23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109331</xdr:colOff>
      <xdr:row>50</xdr:row>
      <xdr:rowOff>71779</xdr:rowOff>
    </xdr:from>
    <xdr:to>
      <xdr:col>13</xdr:col>
      <xdr:colOff>8283</xdr:colOff>
      <xdr:row>55</xdr:row>
      <xdr:rowOff>109879</xdr:rowOff>
    </xdr:to>
    <xdr:sp macro="" textlink="">
      <xdr:nvSpPr>
        <xdr:cNvPr id="2" name="TextBox 1"/>
        <xdr:cNvSpPr txBox="1"/>
      </xdr:nvSpPr>
      <xdr:spPr>
        <a:xfrm>
          <a:off x="9082157" y="9817649"/>
          <a:ext cx="2356126" cy="10044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109331</xdr:colOff>
      <xdr:row>50</xdr:row>
      <xdr:rowOff>71779</xdr:rowOff>
    </xdr:from>
    <xdr:to>
      <xdr:col>11</xdr:col>
      <xdr:colOff>8283</xdr:colOff>
      <xdr:row>55</xdr:row>
      <xdr:rowOff>109879</xdr:rowOff>
    </xdr:to>
    <xdr:sp macro="" textlink="">
      <xdr:nvSpPr>
        <xdr:cNvPr id="2" name="TextBox 1"/>
        <xdr:cNvSpPr txBox="1"/>
      </xdr:nvSpPr>
      <xdr:spPr>
        <a:xfrm>
          <a:off x="10332831" y="9672979"/>
          <a:ext cx="3162852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109331</xdr:colOff>
      <xdr:row>50</xdr:row>
      <xdr:rowOff>71779</xdr:rowOff>
    </xdr:from>
    <xdr:to>
      <xdr:col>14</xdr:col>
      <xdr:colOff>8283</xdr:colOff>
      <xdr:row>55</xdr:row>
      <xdr:rowOff>109879</xdr:rowOff>
    </xdr:to>
    <xdr:sp macro="" textlink="">
      <xdr:nvSpPr>
        <xdr:cNvPr id="2" name="TextBox 1"/>
        <xdr:cNvSpPr txBox="1"/>
      </xdr:nvSpPr>
      <xdr:spPr>
        <a:xfrm>
          <a:off x="11158331" y="9672979"/>
          <a:ext cx="5296452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FF0000"/>
              </a:solidFill>
            </a:rPr>
            <a:t>NB</a:t>
          </a:r>
        </a:p>
        <a:p>
          <a:pPr algn="l"/>
          <a:endParaRPr lang="en-US" sz="1100" b="1">
            <a:solidFill>
              <a:srgbClr val="FF0000"/>
            </a:solidFill>
          </a:endParaRPr>
        </a:p>
        <a:p>
          <a:pPr algn="l"/>
          <a:r>
            <a:rPr lang="en-US" sz="1100" b="1">
              <a:solidFill>
                <a:srgbClr val="FF0000"/>
              </a:solidFill>
            </a:rPr>
            <a:t>In the income statement insert</a:t>
          </a:r>
          <a:r>
            <a:rPr lang="en-US" sz="1100" b="1" baseline="0">
              <a:solidFill>
                <a:srgbClr val="FF0000"/>
              </a:solidFill>
            </a:rPr>
            <a:t> </a:t>
          </a:r>
          <a:r>
            <a:rPr lang="en-US" sz="1100" b="1">
              <a:solidFill>
                <a:srgbClr val="FF0000"/>
              </a:solidFill>
            </a:rPr>
            <a:t>negative numbers with a minus sign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6"/>
  <sheetViews>
    <sheetView tabSelected="1" zoomScale="92" zoomScaleNormal="92" zoomScalePageLayoutView="92" workbookViewId="0">
      <selection activeCell="G56" sqref="G56"/>
    </sheetView>
  </sheetViews>
  <sheetFormatPr baseColWidth="10" defaultRowHeight="15" x14ac:dyDescent="0"/>
  <cols>
    <col min="1" max="1" width="42.83203125" style="1" customWidth="1"/>
    <col min="2" max="3" width="10.83203125" style="1" customWidth="1"/>
    <col min="4" max="4" width="14" style="19" customWidth="1"/>
    <col min="5" max="5" width="10.83203125" style="1"/>
    <col min="6" max="6" width="12" style="1" customWidth="1"/>
    <col min="7" max="7" width="10.83203125" style="1"/>
    <col min="8" max="8" width="11.1640625" style="1" customWidth="1"/>
    <col min="9" max="9" width="10.83203125" style="1"/>
    <col min="10" max="10" width="32.1640625" style="1" customWidth="1"/>
    <col min="11" max="12" width="14" style="1" customWidth="1"/>
    <col min="13" max="13" width="10.6640625" style="4" customWidth="1"/>
    <col min="14" max="14" width="14" style="1" customWidth="1"/>
    <col min="15" max="15" width="5" style="1" customWidth="1"/>
    <col min="16" max="16384" width="10.83203125" style="1"/>
  </cols>
  <sheetData>
    <row r="1" spans="1:15">
      <c r="A1" s="1" t="s">
        <v>29</v>
      </c>
      <c r="K1" s="4"/>
    </row>
    <row r="2" spans="1:15">
      <c r="A2" s="1" t="s">
        <v>87</v>
      </c>
      <c r="B2" s="19" t="s">
        <v>85</v>
      </c>
      <c r="D2" s="19" t="s">
        <v>85</v>
      </c>
      <c r="F2" s="19"/>
      <c r="K2" s="19" t="s">
        <v>85</v>
      </c>
      <c r="M2" s="19"/>
    </row>
    <row r="3" spans="1:15">
      <c r="B3" s="21" t="s">
        <v>86</v>
      </c>
      <c r="C3" s="14" t="s">
        <v>88</v>
      </c>
      <c r="D3" s="21" t="s">
        <v>86</v>
      </c>
      <c r="E3" s="14" t="s">
        <v>43</v>
      </c>
      <c r="F3" s="21"/>
      <c r="G3" s="14" t="s">
        <v>44</v>
      </c>
      <c r="H3" s="14"/>
      <c r="I3" s="14"/>
      <c r="J3" s="14"/>
      <c r="K3" s="21" t="s">
        <v>86</v>
      </c>
      <c r="L3" s="14" t="s">
        <v>88</v>
      </c>
      <c r="M3" s="21"/>
      <c r="N3" s="14" t="s">
        <v>43</v>
      </c>
      <c r="O3" s="14"/>
    </row>
    <row r="4" spans="1:15">
      <c r="A4" s="6" t="s">
        <v>0</v>
      </c>
      <c r="B4" s="20"/>
      <c r="D4" s="20"/>
      <c r="J4" s="6" t="s">
        <v>11</v>
      </c>
      <c r="K4" s="20"/>
      <c r="L4" s="4" t="s">
        <v>10</v>
      </c>
      <c r="M4" s="20"/>
      <c r="N4" s="4" t="s">
        <v>10</v>
      </c>
    </row>
    <row r="5" spans="1:15">
      <c r="B5" s="19"/>
      <c r="C5" s="4" t="s">
        <v>10</v>
      </c>
      <c r="E5" s="4" t="s">
        <v>10</v>
      </c>
      <c r="F5" s="3"/>
      <c r="G5" s="4" t="s">
        <v>10</v>
      </c>
      <c r="H5" s="3"/>
      <c r="I5" s="3"/>
      <c r="J5" s="8" t="s">
        <v>12</v>
      </c>
      <c r="K5" s="22"/>
      <c r="M5" s="22"/>
    </row>
    <row r="6" spans="1:15">
      <c r="A6" s="1" t="s">
        <v>73</v>
      </c>
      <c r="B6" s="23">
        <f>(C6-E6)/E6</f>
        <v>-2.7187445322278902E-3</v>
      </c>
      <c r="C6" s="1">
        <v>74097</v>
      </c>
      <c r="D6" s="23">
        <f>(E6-G6)/G6</f>
        <v>-9.6239719545194013E-3</v>
      </c>
      <c r="E6" s="1">
        <v>74299</v>
      </c>
      <c r="F6" s="23"/>
      <c r="G6" s="1">
        <v>75021</v>
      </c>
      <c r="H6" s="4"/>
      <c r="I6" s="4"/>
      <c r="J6" s="1" t="s">
        <v>51</v>
      </c>
      <c r="K6" s="23">
        <f>(L6-N6)/N6</f>
        <v>-5.9200193306753659E-3</v>
      </c>
      <c r="L6" s="1">
        <v>8228</v>
      </c>
      <c r="M6" s="23"/>
      <c r="N6" s="1">
        <v>8277</v>
      </c>
    </row>
    <row r="7" spans="1:15">
      <c r="A7" s="1" t="s">
        <v>74</v>
      </c>
      <c r="B7" s="23">
        <f t="shared" ref="B7:B10" si="0">(C7-E7)/E7</f>
        <v>-6.4842105263157895E-2</v>
      </c>
      <c r="C7" s="2">
        <v>2221</v>
      </c>
      <c r="D7" s="23">
        <f t="shared" ref="D7:D10" si="1">(E7-G7)/G7</f>
        <v>2.8583802511909919E-2</v>
      </c>
      <c r="E7" s="2">
        <v>2375</v>
      </c>
      <c r="F7" s="23"/>
      <c r="G7" s="2">
        <v>2309</v>
      </c>
      <c r="I7" s="4"/>
      <c r="J7" s="1" t="s">
        <v>13</v>
      </c>
      <c r="K7" s="23">
        <f t="shared" ref="K7:K13" si="2">(L7-N7)/N7</f>
        <v>0.71447196870925689</v>
      </c>
      <c r="L7" s="1">
        <v>1315</v>
      </c>
      <c r="M7" s="23"/>
      <c r="N7" s="1">
        <v>767</v>
      </c>
    </row>
    <row r="8" spans="1:15">
      <c r="A8" s="7" t="s">
        <v>75</v>
      </c>
      <c r="B8" s="23">
        <f t="shared" si="0"/>
        <v>-4.6430341445600851E-3</v>
      </c>
      <c r="C8" s="1">
        <f>SUM(C6:C7)</f>
        <v>76318</v>
      </c>
      <c r="D8" s="23">
        <f t="shared" si="1"/>
        <v>-8.4831242725979562E-3</v>
      </c>
      <c r="E8" s="1">
        <f>SUM(E6:E7)</f>
        <v>76674</v>
      </c>
      <c r="F8" s="23"/>
      <c r="G8" s="1">
        <f>SUM(G6:G7)</f>
        <v>77330</v>
      </c>
      <c r="I8" s="3"/>
      <c r="J8" s="1" t="s">
        <v>14</v>
      </c>
      <c r="K8" s="23">
        <f t="shared" si="2"/>
        <v>0.10468989107930507</v>
      </c>
      <c r="L8" s="1">
        <v>12272</v>
      </c>
      <c r="M8" s="23"/>
      <c r="N8" s="1">
        <v>11109</v>
      </c>
    </row>
    <row r="9" spans="1:15">
      <c r="A9" s="1" t="s">
        <v>1</v>
      </c>
      <c r="B9" s="23">
        <f t="shared" si="0"/>
        <v>-9.3267366450491412E-3</v>
      </c>
      <c r="C9" s="2">
        <v>-59270</v>
      </c>
      <c r="D9" s="23">
        <f t="shared" si="1"/>
        <v>-1.3699533457524851E-2</v>
      </c>
      <c r="E9" s="2">
        <v>-59828</v>
      </c>
      <c r="F9" s="23"/>
      <c r="G9" s="2">
        <v>-60659</v>
      </c>
      <c r="H9" s="4"/>
      <c r="I9" s="4"/>
      <c r="J9" s="1" t="s">
        <v>52</v>
      </c>
      <c r="K9" s="23">
        <f t="shared" si="2"/>
        <v>1.1841779975278122</v>
      </c>
      <c r="L9" s="1">
        <f>296+1471</f>
        <v>1767</v>
      </c>
      <c r="M9" s="23"/>
      <c r="N9" s="1">
        <v>809</v>
      </c>
    </row>
    <row r="10" spans="1:15">
      <c r="A10" s="7" t="s">
        <v>2</v>
      </c>
      <c r="B10" s="23">
        <f t="shared" si="0"/>
        <v>1.1990977086548735E-2</v>
      </c>
      <c r="C10" s="1">
        <f>C8+C9</f>
        <v>17048</v>
      </c>
      <c r="D10" s="23">
        <f t="shared" si="1"/>
        <v>1.04972707096155E-2</v>
      </c>
      <c r="E10" s="1">
        <f>E8+E9</f>
        <v>16846</v>
      </c>
      <c r="F10" s="23"/>
      <c r="G10" s="1">
        <f>G8+G9</f>
        <v>16671</v>
      </c>
      <c r="H10" s="3"/>
      <c r="I10" s="4"/>
      <c r="J10" s="1" t="s">
        <v>77</v>
      </c>
      <c r="K10" s="23">
        <f t="shared" si="2"/>
        <v>7.5178496430071393E-2</v>
      </c>
      <c r="L10" s="1">
        <v>2560</v>
      </c>
      <c r="M10" s="23"/>
      <c r="N10" s="1">
        <v>2381</v>
      </c>
    </row>
    <row r="11" spans="1:15">
      <c r="A11" s="1" t="s">
        <v>50</v>
      </c>
      <c r="B11" s="19"/>
      <c r="F11" s="24"/>
      <c r="I11" s="3"/>
      <c r="J11" s="1" t="s">
        <v>15</v>
      </c>
      <c r="K11" s="23">
        <f t="shared" si="2"/>
        <v>-0.18474758324382384</v>
      </c>
      <c r="L11" s="1">
        <v>759</v>
      </c>
      <c r="M11" s="23"/>
      <c r="N11" s="1">
        <v>931</v>
      </c>
    </row>
    <row r="12" spans="1:15">
      <c r="A12" s="1" t="s">
        <v>3</v>
      </c>
      <c r="B12" s="19"/>
      <c r="F12" s="19"/>
      <c r="H12" s="4"/>
      <c r="I12" s="4"/>
      <c r="J12" s="1" t="s">
        <v>16</v>
      </c>
      <c r="K12" s="23">
        <f t="shared" si="2"/>
        <v>0.16928446771378708</v>
      </c>
      <c r="L12" s="2">
        <v>1340</v>
      </c>
      <c r="M12" s="23"/>
      <c r="N12" s="2">
        <v>1146</v>
      </c>
    </row>
    <row r="13" spans="1:15">
      <c r="A13" s="1" t="s">
        <v>4</v>
      </c>
      <c r="B13" s="23">
        <f t="shared" ref="B13:B23" si="3">(C13-E13)/E13</f>
        <v>1.8950437317784258E-2</v>
      </c>
      <c r="C13" s="1">
        <v>-13281</v>
      </c>
      <c r="D13" s="23">
        <f t="shared" ref="D13:D23" si="4">(E13-G13)/G13</f>
        <v>-4.7779076563413209E-2</v>
      </c>
      <c r="E13" s="1">
        <v>-13034</v>
      </c>
      <c r="F13" s="23"/>
      <c r="G13" s="1">
        <v>-13688</v>
      </c>
      <c r="I13" s="4"/>
      <c r="K13" s="23">
        <f t="shared" si="2"/>
        <v>0.11097560975609756</v>
      </c>
      <c r="L13" s="9">
        <f>SUM(L6:L12)</f>
        <v>28241</v>
      </c>
      <c r="M13" s="23"/>
      <c r="N13" s="9">
        <f>SUM(N6:N12)</f>
        <v>25420</v>
      </c>
    </row>
    <row r="14" spans="1:15">
      <c r="A14" s="1" t="s">
        <v>76</v>
      </c>
      <c r="B14" s="23">
        <f t="shared" si="3"/>
        <v>-3.5614525139664802E-2</v>
      </c>
      <c r="C14" s="1">
        <v>-1381</v>
      </c>
      <c r="D14" s="23">
        <f t="shared" si="4"/>
        <v>-5.6653491436100128E-2</v>
      </c>
      <c r="E14" s="1">
        <v>-1432</v>
      </c>
      <c r="F14" s="23"/>
      <c r="G14" s="1">
        <v>-1518</v>
      </c>
      <c r="I14" s="3"/>
      <c r="J14" s="8" t="s">
        <v>17</v>
      </c>
      <c r="K14" s="22"/>
      <c r="M14" s="22"/>
    </row>
    <row r="15" spans="1:15">
      <c r="A15" s="1" t="s">
        <v>46</v>
      </c>
      <c r="B15" s="23"/>
      <c r="C15" s="2">
        <v>149</v>
      </c>
      <c r="D15" s="23"/>
      <c r="E15" s="2"/>
      <c r="F15" s="23"/>
      <c r="G15" s="2"/>
      <c r="H15" s="4"/>
      <c r="I15" s="4"/>
      <c r="J15" s="1" t="s">
        <v>53</v>
      </c>
      <c r="K15" s="23">
        <f t="shared" ref="K15:K22" si="5">(L15-N15)/N15</f>
        <v>8.2781456953642391E-2</v>
      </c>
      <c r="L15" s="1">
        <v>6213</v>
      </c>
      <c r="M15" s="23"/>
      <c r="N15" s="1">
        <v>5738</v>
      </c>
    </row>
    <row r="16" spans="1:15">
      <c r="A16" s="7" t="s">
        <v>5</v>
      </c>
      <c r="B16" s="23">
        <f t="shared" si="3"/>
        <v>6.5126050420168072E-2</v>
      </c>
      <c r="C16" s="1">
        <f>SUM(C10:C15)</f>
        <v>2535</v>
      </c>
      <c r="D16" s="23">
        <f t="shared" si="4"/>
        <v>0.62457337883959041</v>
      </c>
      <c r="E16" s="1">
        <f>SUM(E10:E15)</f>
        <v>2380</v>
      </c>
      <c r="F16" s="23"/>
      <c r="G16" s="1">
        <f>SUM(G10:G15)</f>
        <v>1465</v>
      </c>
      <c r="H16" s="3"/>
      <c r="I16" s="3"/>
      <c r="J16" s="1" t="s">
        <v>18</v>
      </c>
      <c r="K16" s="23">
        <f t="shared" si="5"/>
        <v>2.1238138273836422E-2</v>
      </c>
      <c r="L16" s="1">
        <v>2260</v>
      </c>
      <c r="M16" s="23"/>
      <c r="N16" s="1">
        <v>2213</v>
      </c>
    </row>
    <row r="17" spans="1:14">
      <c r="A17" s="1" t="s">
        <v>6</v>
      </c>
      <c r="B17" s="23">
        <f t="shared" si="3"/>
        <v>-0.22022160664819945</v>
      </c>
      <c r="C17" s="1">
        <v>-563</v>
      </c>
      <c r="D17" s="23">
        <f t="shared" si="4"/>
        <v>-0.18233295583238959</v>
      </c>
      <c r="E17" s="1">
        <v>-722</v>
      </c>
      <c r="F17" s="23"/>
      <c r="G17" s="1">
        <v>-883</v>
      </c>
      <c r="H17" s="4"/>
      <c r="J17" s="1" t="s">
        <v>77</v>
      </c>
      <c r="K17" s="23">
        <f t="shared" si="5"/>
        <v>6.1782055262340888E-2</v>
      </c>
      <c r="L17" s="1">
        <v>3420</v>
      </c>
      <c r="M17" s="23"/>
      <c r="N17" s="1">
        <v>3221</v>
      </c>
    </row>
    <row r="18" spans="1:14">
      <c r="A18" s="1" t="s">
        <v>7</v>
      </c>
      <c r="B18" s="23">
        <f t="shared" si="3"/>
        <v>0.23333333333333334</v>
      </c>
      <c r="C18" s="2">
        <v>37</v>
      </c>
      <c r="D18" s="23">
        <f t="shared" si="4"/>
        <v>-0.58333333333333337</v>
      </c>
      <c r="E18" s="2">
        <v>30</v>
      </c>
      <c r="F18" s="23"/>
      <c r="G18" s="2">
        <v>72</v>
      </c>
      <c r="H18" s="4"/>
      <c r="J18" s="1" t="s">
        <v>19</v>
      </c>
      <c r="K18" s="23">
        <f t="shared" si="5"/>
        <v>0.3018276762402089</v>
      </c>
      <c r="L18" s="1">
        <f>504+1136+853</f>
        <v>2493</v>
      </c>
      <c r="M18" s="23"/>
      <c r="N18" s="1">
        <v>1915</v>
      </c>
    </row>
    <row r="19" spans="1:14">
      <c r="A19" s="7" t="s">
        <v>47</v>
      </c>
      <c r="B19" s="23">
        <f t="shared" si="3"/>
        <v>0.19016587677725119</v>
      </c>
      <c r="C19" s="1">
        <f>SUM(C16:C18)</f>
        <v>2009</v>
      </c>
      <c r="D19" s="23">
        <f t="shared" si="4"/>
        <v>1.581039755351682</v>
      </c>
      <c r="E19" s="1">
        <f>SUM(E16:E18)</f>
        <v>1688</v>
      </c>
      <c r="F19" s="23"/>
      <c r="G19" s="1">
        <f>SUM(G16:G18)</f>
        <v>654</v>
      </c>
      <c r="H19" s="3"/>
      <c r="J19" s="1" t="s">
        <v>78</v>
      </c>
      <c r="K19" s="23"/>
      <c r="L19" s="1">
        <v>0</v>
      </c>
      <c r="M19" s="23"/>
      <c r="N19" s="1">
        <v>0</v>
      </c>
    </row>
    <row r="20" spans="1:14">
      <c r="A20" s="1" t="s">
        <v>8</v>
      </c>
      <c r="B20" s="23">
        <f t="shared" si="3"/>
        <v>0.12361331220285261</v>
      </c>
      <c r="C20" s="2">
        <v>-709</v>
      </c>
      <c r="D20" s="23">
        <f t="shared" si="4"/>
        <v>0.66052631578947374</v>
      </c>
      <c r="E20" s="2">
        <v>-631</v>
      </c>
      <c r="F20" s="23"/>
      <c r="G20" s="2">
        <v>-380</v>
      </c>
      <c r="H20" s="4"/>
      <c r="J20" s="1" t="s">
        <v>54</v>
      </c>
      <c r="K20" s="23">
        <f t="shared" si="5"/>
        <v>-0.34559596384275804</v>
      </c>
      <c r="L20" s="1">
        <v>3113</v>
      </c>
      <c r="M20" s="23"/>
      <c r="N20" s="1">
        <v>4757</v>
      </c>
    </row>
    <row r="21" spans="1:14">
      <c r="A21" s="7" t="s">
        <v>48</v>
      </c>
      <c r="B21" s="23">
        <f t="shared" si="3"/>
        <v>0.22989593188268684</v>
      </c>
      <c r="C21" s="9">
        <f>SUM(C19:C20)</f>
        <v>1300</v>
      </c>
      <c r="D21" s="23">
        <f t="shared" si="4"/>
        <v>2.8576642335766422</v>
      </c>
      <c r="E21" s="9">
        <f>SUM(E19:E20)</f>
        <v>1057</v>
      </c>
      <c r="F21" s="23"/>
      <c r="G21" s="9">
        <f>SUM(G19:G20)</f>
        <v>274</v>
      </c>
      <c r="H21" s="3"/>
      <c r="J21" s="1" t="s">
        <v>55</v>
      </c>
      <c r="K21" s="23">
        <f t="shared" si="5"/>
        <v>-0.83774834437086088</v>
      </c>
      <c r="L21" s="2">
        <v>49</v>
      </c>
      <c r="M21" s="23"/>
      <c r="N21" s="2">
        <v>302</v>
      </c>
    </row>
    <row r="22" spans="1:14">
      <c r="A22" s="1" t="s">
        <v>49</v>
      </c>
      <c r="B22" s="23">
        <f t="shared" si="3"/>
        <v>-0.78104575163398693</v>
      </c>
      <c r="C22" s="1">
        <v>67</v>
      </c>
      <c r="D22" s="23">
        <f t="shared" si="4"/>
        <v>-0.71375116931711879</v>
      </c>
      <c r="E22" s="1">
        <v>306</v>
      </c>
      <c r="F22" s="23"/>
      <c r="G22" s="1">
        <v>1069</v>
      </c>
      <c r="K22" s="23">
        <f t="shared" si="5"/>
        <v>-3.2954921194753663E-2</v>
      </c>
      <c r="L22" s="1">
        <f>SUM(L15:L21)</f>
        <v>17548</v>
      </c>
      <c r="M22" s="23"/>
      <c r="N22" s="1">
        <f>SUM(N15:N21)</f>
        <v>18146</v>
      </c>
    </row>
    <row r="23" spans="1:14" ht="16" thickBot="1">
      <c r="A23" s="7" t="s">
        <v>9</v>
      </c>
      <c r="B23" s="23">
        <f t="shared" si="3"/>
        <v>2.93470286133529E-3</v>
      </c>
      <c r="C23" s="5">
        <f>SUM(C21:C22)</f>
        <v>1367</v>
      </c>
      <c r="D23" s="23">
        <f t="shared" si="4"/>
        <v>1.4892032762472078E-2</v>
      </c>
      <c r="E23" s="5">
        <f>SUM(E21:E22)</f>
        <v>1363</v>
      </c>
      <c r="F23" s="23"/>
      <c r="G23" s="5">
        <f>SUM(G21:G22)</f>
        <v>1343</v>
      </c>
      <c r="K23" s="4"/>
    </row>
    <row r="24" spans="1:14" ht="17" thickTop="1" thickBot="1">
      <c r="B24" s="19"/>
      <c r="C24" s="12"/>
      <c r="E24" s="12"/>
      <c r="G24" s="12"/>
      <c r="J24" s="10" t="s">
        <v>20</v>
      </c>
      <c r="K24" s="23">
        <f>(L24-N24)/N24</f>
        <v>5.1026029472524444E-2</v>
      </c>
      <c r="L24" s="5">
        <f>L22+L13</f>
        <v>45789</v>
      </c>
      <c r="M24" s="23"/>
      <c r="N24" s="5">
        <f>N22+N13</f>
        <v>43566</v>
      </c>
    </row>
    <row r="25" spans="1:14" ht="16" thickTop="1">
      <c r="A25" s="8" t="s">
        <v>30</v>
      </c>
      <c r="B25" s="20"/>
      <c r="C25" s="12"/>
      <c r="D25" s="20"/>
      <c r="E25" s="12"/>
      <c r="G25" s="12"/>
      <c r="K25" s="4"/>
    </row>
    <row r="26" spans="1:14">
      <c r="A26" s="1" t="s">
        <v>31</v>
      </c>
      <c r="B26" s="19"/>
      <c r="C26" s="12">
        <f>C10/C6</f>
        <v>0.23007679123311336</v>
      </c>
      <c r="E26" s="12">
        <f>E10/E6</f>
        <v>0.22673252668272789</v>
      </c>
      <c r="G26" s="12">
        <f>G10/G6</f>
        <v>0.22221777902187387</v>
      </c>
      <c r="J26" s="8" t="s">
        <v>21</v>
      </c>
      <c r="K26" s="22"/>
      <c r="M26" s="22"/>
    </row>
    <row r="27" spans="1:14">
      <c r="A27" s="1" t="s">
        <v>32</v>
      </c>
      <c r="B27" s="19"/>
      <c r="C27" s="12">
        <f>C16/C6</f>
        <v>3.4211911413417548E-2</v>
      </c>
      <c r="E27" s="12">
        <f>E16/E6</f>
        <v>3.2032732607437518E-2</v>
      </c>
      <c r="G27" s="12">
        <f>G16/G6</f>
        <v>1.9527865530984657E-2</v>
      </c>
      <c r="J27" s="1" t="s">
        <v>79</v>
      </c>
      <c r="K27" s="23">
        <f t="shared" ref="K27:K34" si="6">(L27-N27)/N27</f>
        <v>4.3969102792632206E-2</v>
      </c>
      <c r="L27" s="1">
        <v>1757</v>
      </c>
      <c r="M27" s="23"/>
      <c r="N27" s="1">
        <v>1683</v>
      </c>
    </row>
    <row r="28" spans="1:14">
      <c r="A28" s="1" t="s">
        <v>57</v>
      </c>
      <c r="B28" s="19"/>
      <c r="C28" s="12">
        <f>C23/C6</f>
        <v>1.8448790099464214E-2</v>
      </c>
      <c r="E28" s="12">
        <f>E23/E6</f>
        <v>1.8344796026864427E-2</v>
      </c>
      <c r="G28" s="12">
        <f>G23/G6</f>
        <v>1.790165420348969E-2</v>
      </c>
      <c r="J28" s="1" t="s">
        <v>22</v>
      </c>
      <c r="K28" s="23">
        <f t="shared" si="6"/>
        <v>4.1232301229189354E-2</v>
      </c>
      <c r="L28" s="1">
        <v>13384</v>
      </c>
      <c r="M28" s="23"/>
      <c r="N28" s="1">
        <v>12854</v>
      </c>
    </row>
    <row r="29" spans="1:14">
      <c r="A29" s="1" t="s">
        <v>84</v>
      </c>
      <c r="B29" s="19"/>
      <c r="C29" s="12">
        <f>C23/L42</f>
        <v>0.13365271802894016</v>
      </c>
      <c r="E29" s="12">
        <f>E23/N42</f>
        <v>0.15852523842754129</v>
      </c>
      <c r="G29" s="12"/>
      <c r="J29" s="1" t="s">
        <v>80</v>
      </c>
      <c r="K29" s="23">
        <f t="shared" si="6"/>
        <v>0.18219395866454691</v>
      </c>
      <c r="L29" s="1">
        <v>3718</v>
      </c>
      <c r="M29" s="23"/>
      <c r="N29" s="1">
        <v>3145</v>
      </c>
    </row>
    <row r="30" spans="1:14">
      <c r="A30" s="1" t="s">
        <v>58</v>
      </c>
      <c r="B30" s="19"/>
      <c r="C30" s="12">
        <f>(C16+C18)/(L42+L36)</f>
        <v>0.15091239805198614</v>
      </c>
      <c r="E30" s="12">
        <f>(E16+E18)/(N42+N36)</f>
        <v>0.1492444884815457</v>
      </c>
      <c r="G30" s="12"/>
      <c r="J30" s="1" t="s">
        <v>81</v>
      </c>
      <c r="K30" s="23">
        <f t="shared" si="6"/>
        <v>0.12153110047846891</v>
      </c>
      <c r="L30" s="1">
        <v>1172</v>
      </c>
      <c r="M30" s="23"/>
      <c r="N30" s="1">
        <v>1045</v>
      </c>
    </row>
    <row r="31" spans="1:14">
      <c r="B31" s="19"/>
      <c r="J31" s="1" t="s">
        <v>23</v>
      </c>
      <c r="K31" s="23"/>
      <c r="L31" s="1">
        <v>0</v>
      </c>
      <c r="M31" s="23"/>
      <c r="N31" s="1">
        <v>0</v>
      </c>
    </row>
    <row r="32" spans="1:14">
      <c r="A32" s="8" t="s">
        <v>35</v>
      </c>
      <c r="B32" s="20"/>
      <c r="D32" s="20"/>
      <c r="J32" s="1" t="s">
        <v>24</v>
      </c>
      <c r="K32" s="23">
        <f t="shared" si="6"/>
        <v>9.3738689829895042E-2</v>
      </c>
      <c r="L32" s="1">
        <v>3022</v>
      </c>
      <c r="M32" s="23"/>
      <c r="N32" s="1">
        <v>2763</v>
      </c>
    </row>
    <row r="33" spans="1:14">
      <c r="A33" s="1" t="s">
        <v>36</v>
      </c>
      <c r="B33" s="19"/>
      <c r="C33" s="13">
        <f>L22/L34</f>
        <v>0.76116942829877676</v>
      </c>
      <c r="E33" s="13">
        <f>N22/N34</f>
        <v>0.84345077623872822</v>
      </c>
      <c r="G33" s="13"/>
      <c r="J33" s="1" t="s">
        <v>56</v>
      </c>
      <c r="K33" s="23">
        <f t="shared" si="6"/>
        <v>-0.95833333333333337</v>
      </c>
      <c r="L33" s="2">
        <v>1</v>
      </c>
      <c r="M33" s="23"/>
      <c r="N33" s="2">
        <v>24</v>
      </c>
    </row>
    <row r="34" spans="1:14">
      <c r="A34" s="1" t="s">
        <v>37</v>
      </c>
      <c r="B34" s="19"/>
      <c r="C34" s="13">
        <f>(L22-L15)/L34</f>
        <v>0.49167172724906738</v>
      </c>
      <c r="E34" s="13">
        <f>(N22-N15)/N34</f>
        <v>0.57674072696848566</v>
      </c>
      <c r="G34" s="13"/>
      <c r="K34" s="23">
        <f t="shared" si="6"/>
        <v>7.1581295900343955E-2</v>
      </c>
      <c r="L34" s="1">
        <f>SUM(L27:L33)</f>
        <v>23054</v>
      </c>
      <c r="M34" s="23"/>
      <c r="N34" s="1">
        <f>SUM(N27:N33)</f>
        <v>21514</v>
      </c>
    </row>
    <row r="35" spans="1:14">
      <c r="B35" s="19"/>
      <c r="J35" s="8" t="s">
        <v>25</v>
      </c>
      <c r="K35" s="22"/>
      <c r="M35" s="22"/>
    </row>
    <row r="36" spans="1:14">
      <c r="A36" s="8" t="s">
        <v>62</v>
      </c>
      <c r="B36" s="20"/>
      <c r="C36" s="13"/>
      <c r="D36" s="20"/>
      <c r="E36" s="13"/>
      <c r="G36" s="13"/>
      <c r="J36" s="1" t="s">
        <v>82</v>
      </c>
      <c r="K36" s="23">
        <f t="shared" ref="K36:K40" si="7">(L36-N36)/N36</f>
        <v>-9.7350993377483444E-2</v>
      </c>
      <c r="L36" s="1">
        <v>6815</v>
      </c>
      <c r="M36" s="23"/>
      <c r="N36" s="1">
        <v>7550</v>
      </c>
    </row>
    <row r="37" spans="1:14">
      <c r="A37" s="1" t="s">
        <v>33</v>
      </c>
      <c r="B37" s="19"/>
      <c r="C37" s="13">
        <f>C6/L13</f>
        <v>2.6237385361708156</v>
      </c>
      <c r="E37" s="13">
        <f>E6/N13</f>
        <v>2.9228560188827695</v>
      </c>
      <c r="G37" s="13"/>
      <c r="J37" s="1" t="s">
        <v>23</v>
      </c>
      <c r="K37" s="23">
        <f t="shared" si="7"/>
        <v>-1.0226644555002764E-2</v>
      </c>
      <c r="L37" s="1">
        <v>3581</v>
      </c>
      <c r="M37" s="23"/>
      <c r="N37" s="1">
        <v>3618</v>
      </c>
    </row>
    <row r="38" spans="1:14">
      <c r="A38" s="1" t="s">
        <v>59</v>
      </c>
      <c r="B38" s="19"/>
      <c r="C38" s="1">
        <f>(L15/C9)*365*-1</f>
        <v>38.261262021258645</v>
      </c>
      <c r="E38" s="1">
        <f>(N15/E9)*365*-1</f>
        <v>35.006518686902453</v>
      </c>
      <c r="J38" s="1" t="s">
        <v>80</v>
      </c>
      <c r="K38" s="23">
        <f t="shared" si="7"/>
        <v>-9.9716713881019825E-2</v>
      </c>
      <c r="L38" s="1">
        <v>1589</v>
      </c>
      <c r="M38" s="23"/>
      <c r="N38" s="1">
        <v>1765</v>
      </c>
    </row>
    <row r="39" spans="1:14">
      <c r="A39" s="1" t="s">
        <v>34</v>
      </c>
      <c r="B39" s="19"/>
      <c r="C39" s="18">
        <f>C9/L15*-1</f>
        <v>9.5396748752615483</v>
      </c>
      <c r="E39" s="18">
        <f>E9/N15*-1</f>
        <v>10.42662948762635</v>
      </c>
      <c r="G39" s="18"/>
      <c r="J39" s="1" t="s">
        <v>26</v>
      </c>
      <c r="K39" s="23"/>
      <c r="L39" s="1">
        <v>0</v>
      </c>
      <c r="M39" s="23"/>
      <c r="N39" s="1">
        <v>0</v>
      </c>
    </row>
    <row r="40" spans="1:14">
      <c r="A40" s="1" t="s">
        <v>60</v>
      </c>
      <c r="B40" s="19"/>
      <c r="C40" s="18">
        <f>L16/C6*365</f>
        <v>11.13270442797954</v>
      </c>
      <c r="E40" s="18">
        <f>N16/E6*365</f>
        <v>10.871546050417905</v>
      </c>
      <c r="G40" s="18"/>
      <c r="J40" s="1" t="s">
        <v>16</v>
      </c>
      <c r="K40" s="23">
        <f t="shared" si="7"/>
        <v>3.838771593090211E-3</v>
      </c>
      <c r="L40" s="2">
        <v>523</v>
      </c>
      <c r="M40" s="23"/>
      <c r="N40" s="2">
        <v>521</v>
      </c>
    </row>
    <row r="41" spans="1:14">
      <c r="A41" s="1" t="s">
        <v>61</v>
      </c>
      <c r="B41" s="19"/>
      <c r="C41" s="18">
        <f>L28/C9*365*-1</f>
        <v>82.422135987852201</v>
      </c>
      <c r="E41" s="18">
        <f>N28/E9*365*-1</f>
        <v>78.419970582336035</v>
      </c>
      <c r="G41" s="18"/>
      <c r="K41" s="4"/>
      <c r="L41" s="1">
        <f>SUM(L36:L40)</f>
        <v>12508</v>
      </c>
      <c r="N41" s="1">
        <f>SUM(N36:N40)</f>
        <v>13454</v>
      </c>
    </row>
    <row r="42" spans="1:14">
      <c r="B42" s="19"/>
      <c r="J42" s="1" t="s">
        <v>27</v>
      </c>
      <c r="K42" s="23">
        <f t="shared" ref="K42:K43" si="8">(L42-N42)/N42</f>
        <v>0.1895789718539195</v>
      </c>
      <c r="L42" s="1">
        <v>10228</v>
      </c>
      <c r="M42" s="23"/>
      <c r="N42" s="1">
        <v>8598</v>
      </c>
    </row>
    <row r="43" spans="1:14" ht="16" thickBot="1">
      <c r="A43" s="8" t="s">
        <v>63</v>
      </c>
      <c r="B43" s="20"/>
      <c r="D43" s="20"/>
      <c r="J43" s="1" t="s">
        <v>28</v>
      </c>
      <c r="K43" s="23">
        <f t="shared" si="8"/>
        <v>5.1048983151999267E-2</v>
      </c>
      <c r="L43" s="5">
        <f>L34+L41+L42</f>
        <v>45790</v>
      </c>
      <c r="M43" s="23"/>
      <c r="N43" s="5">
        <f>N34+N41+N42</f>
        <v>43566</v>
      </c>
    </row>
    <row r="44" spans="1:14" ht="16" thickTop="1">
      <c r="A44" s="1" t="s">
        <v>64</v>
      </c>
      <c r="B44" s="19"/>
      <c r="C44" s="15">
        <f>C23/L46*1000000</f>
        <v>1.9324351106348998</v>
      </c>
      <c r="E44" s="15">
        <f>E23/N46*1000000</f>
        <v>1.9613610661211625</v>
      </c>
      <c r="G44" s="15"/>
      <c r="K44" s="4"/>
    </row>
    <row r="45" spans="1:14">
      <c r="A45" s="1" t="s">
        <v>65</v>
      </c>
      <c r="B45" s="19"/>
      <c r="C45" s="13">
        <f>L47/C44</f>
        <v>13.092289547403073</v>
      </c>
      <c r="E45" s="13">
        <f>N47/E44</f>
        <v>14.688779387762288</v>
      </c>
      <c r="G45" s="13"/>
      <c r="K45" s="4"/>
    </row>
    <row r="46" spans="1:14">
      <c r="A46" s="1" t="s">
        <v>66</v>
      </c>
      <c r="B46" s="19"/>
      <c r="C46" s="13">
        <f>C44/L49</f>
        <v>2.8418163391689699</v>
      </c>
      <c r="E46" s="13">
        <f>E44/N49</f>
        <v>3.1634855905180039</v>
      </c>
      <c r="G46" s="13"/>
      <c r="J46" s="1" t="s">
        <v>42</v>
      </c>
      <c r="K46" s="23">
        <f t="shared" ref="K46:K49" si="9">(L46-N46)/N46</f>
        <v>1.7947286937735916E-2</v>
      </c>
      <c r="L46" s="26">
        <v>707397621</v>
      </c>
      <c r="M46" s="23"/>
      <c r="N46" s="2">
        <v>694925592</v>
      </c>
    </row>
    <row r="47" spans="1:14">
      <c r="A47" s="1" t="s">
        <v>67</v>
      </c>
      <c r="B47" s="19"/>
      <c r="C47" s="25">
        <f>L49/L47</f>
        <v>2.6877470355731226E-2</v>
      </c>
      <c r="E47" s="25">
        <f>N49/N47</f>
        <v>2.1520305449496704E-2</v>
      </c>
      <c r="G47" s="25"/>
      <c r="J47" s="1" t="s">
        <v>71</v>
      </c>
      <c r="K47" s="23">
        <f t="shared" si="9"/>
        <v>-0.12183269698021514</v>
      </c>
      <c r="L47" s="16">
        <v>25.3</v>
      </c>
      <c r="M47" s="23"/>
      <c r="N47" s="16">
        <v>28.81</v>
      </c>
    </row>
    <row r="48" spans="1:14">
      <c r="A48" s="1" t="s">
        <v>68</v>
      </c>
      <c r="B48" s="19"/>
      <c r="C48" s="13">
        <f>L36/L42</f>
        <v>0.66630817364098549</v>
      </c>
      <c r="E48" s="13">
        <f>N36/N42</f>
        <v>0.87811118864852289</v>
      </c>
      <c r="G48" s="13"/>
      <c r="J48" s="1" t="s">
        <v>72</v>
      </c>
      <c r="K48" s="23">
        <f t="shared" si="9"/>
        <v>-0.1060719764135815</v>
      </c>
      <c r="L48" s="2">
        <f>L46*L47</f>
        <v>17897159811.299999</v>
      </c>
      <c r="M48" s="23"/>
      <c r="N48" s="2">
        <f>N46*N47</f>
        <v>20020806305.52</v>
      </c>
    </row>
    <row r="49" spans="1:14">
      <c r="A49" s="1" t="s">
        <v>69</v>
      </c>
      <c r="B49" s="19"/>
      <c r="C49" s="13">
        <f>C16/C17*-1</f>
        <v>4.5026642984014211</v>
      </c>
      <c r="E49" s="13">
        <f>E16/E17*-1</f>
        <v>3.2963988919667591</v>
      </c>
      <c r="G49" s="13">
        <f>G16/G17*-1</f>
        <v>1.6591166477916195</v>
      </c>
      <c r="J49" s="1" t="s">
        <v>83</v>
      </c>
      <c r="K49" s="23">
        <f t="shared" si="9"/>
        <v>9.6774193548387177E-2</v>
      </c>
      <c r="L49" s="16">
        <v>0.68</v>
      </c>
      <c r="M49" s="23"/>
      <c r="N49" s="16">
        <v>0.62</v>
      </c>
    </row>
    <row r="50" spans="1:14">
      <c r="B50" s="19"/>
    </row>
    <row r="51" spans="1:14">
      <c r="A51" s="8" t="s">
        <v>38</v>
      </c>
      <c r="B51" s="20"/>
      <c r="D51" s="20"/>
    </row>
    <row r="52" spans="1:14">
      <c r="A52" s="1" t="s">
        <v>39</v>
      </c>
      <c r="B52" s="19"/>
      <c r="C52" s="12">
        <f>C20/C19</f>
        <v>-0.35291189646590343</v>
      </c>
      <c r="E52" s="12">
        <f>E20/E19</f>
        <v>-0.37381516587677727</v>
      </c>
      <c r="G52" s="12">
        <f>G20/G19</f>
        <v>-0.58103975535168195</v>
      </c>
    </row>
    <row r="53" spans="1:14">
      <c r="A53" s="1" t="s">
        <v>70</v>
      </c>
      <c r="B53" s="19"/>
      <c r="C53" s="12">
        <f>C12/C8</f>
        <v>0</v>
      </c>
      <c r="E53" s="12">
        <f>E12/E8</f>
        <v>0</v>
      </c>
      <c r="G53" s="12">
        <f>G12/G8</f>
        <v>0</v>
      </c>
    </row>
    <row r="54" spans="1:14">
      <c r="A54" s="1" t="s">
        <v>40</v>
      </c>
      <c r="B54" s="19"/>
      <c r="C54" s="12">
        <f>(L6+L7)/L24</f>
        <v>0.208412500818974</v>
      </c>
      <c r="E54" s="12">
        <f>(N6+N7)/N24</f>
        <v>0.2075930771702704</v>
      </c>
      <c r="G54" s="12"/>
    </row>
    <row r="55" spans="1:14">
      <c r="A55" s="1" t="s">
        <v>41</v>
      </c>
      <c r="B55" s="19"/>
      <c r="C55" s="12">
        <f>(L6+L7)/L42</f>
        <v>0.93302698474775125</v>
      </c>
      <c r="E55" s="12">
        <f>(N6+N7)/N42</f>
        <v>1.0518725284949988</v>
      </c>
      <c r="G55" s="12"/>
    </row>
    <row r="56" spans="1:14">
      <c r="A56" s="27" t="s">
        <v>89</v>
      </c>
      <c r="C56" s="12">
        <f>(L48/L42)/1000000</f>
        <v>1.7498200832323034</v>
      </c>
      <c r="E56" s="12">
        <f>(N48/N42)/1000000</f>
        <v>2.3285422546545709</v>
      </c>
    </row>
  </sheetData>
  <phoneticPr fontId="7" type="noConversion"/>
  <pageMargins left="0.75000000000000011" right="0.75000000000000011" top="1" bottom="1" header="0.5" footer="0.5"/>
  <pageSetup paperSize="9" scale="52" orientation="landscape" horizontalDpi="4294967292" verticalDpi="4294967292"/>
  <headerFooter>
    <oddHeader>&amp;L&amp;"Calibri,Regular"&amp;K000000Session 4 SM 2.1 Trend Analysis - Solution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6"/>
  <sheetViews>
    <sheetView topLeftCell="A2" workbookViewId="0">
      <selection activeCell="A56" sqref="A56"/>
    </sheetView>
  </sheetViews>
  <sheetFormatPr baseColWidth="10" defaultRowHeight="15" x14ac:dyDescent="0"/>
  <cols>
    <col min="1" max="1" width="42.83203125" style="1" customWidth="1"/>
    <col min="2" max="2" width="14" style="19" customWidth="1"/>
    <col min="3" max="3" width="10.83203125" style="1"/>
    <col min="4" max="4" width="12" style="1" customWidth="1"/>
    <col min="5" max="5" width="10.83203125" style="1"/>
    <col min="6" max="6" width="11.1640625" style="1" customWidth="1"/>
    <col min="7" max="9" width="10.83203125" style="1"/>
    <col min="10" max="10" width="32.1640625" style="1" customWidth="1"/>
    <col min="11" max="11" width="10.6640625" style="4" customWidth="1"/>
    <col min="12" max="12" width="14" style="1" bestFit="1" customWidth="1"/>
    <col min="13" max="13" width="5" style="1" customWidth="1"/>
    <col min="14" max="14" width="14.6640625" style="1" customWidth="1"/>
    <col min="15" max="16384" width="10.83203125" style="1"/>
  </cols>
  <sheetData>
    <row r="1" spans="1:14">
      <c r="A1" s="1" t="s">
        <v>29</v>
      </c>
    </row>
    <row r="2" spans="1:14">
      <c r="A2" s="1" t="s">
        <v>87</v>
      </c>
      <c r="B2" s="19" t="s">
        <v>85</v>
      </c>
      <c r="D2" s="19" t="s">
        <v>85</v>
      </c>
      <c r="K2" s="19" t="s">
        <v>85</v>
      </c>
    </row>
    <row r="3" spans="1:14">
      <c r="B3" s="21" t="s">
        <v>86</v>
      </c>
      <c r="C3" s="14" t="s">
        <v>88</v>
      </c>
      <c r="D3" s="21" t="s">
        <v>86</v>
      </c>
      <c r="E3" s="14" t="s">
        <v>43</v>
      </c>
      <c r="F3" s="14"/>
      <c r="G3" s="14" t="s">
        <v>44</v>
      </c>
      <c r="H3" s="14"/>
      <c r="I3" s="14"/>
      <c r="J3" s="14"/>
      <c r="K3" s="21" t="s">
        <v>86</v>
      </c>
      <c r="L3" s="14" t="s">
        <v>88</v>
      </c>
      <c r="M3" s="14"/>
      <c r="N3" s="14" t="s">
        <v>43</v>
      </c>
    </row>
    <row r="4" spans="1:14">
      <c r="A4" s="6" t="s">
        <v>0</v>
      </c>
      <c r="B4" s="20"/>
      <c r="J4" s="6" t="s">
        <v>11</v>
      </c>
      <c r="K4" s="20"/>
      <c r="L4" s="4" t="s">
        <v>10</v>
      </c>
      <c r="N4" s="11" t="s">
        <v>10</v>
      </c>
    </row>
    <row r="5" spans="1:14">
      <c r="C5" s="4" t="s">
        <v>10</v>
      </c>
      <c r="D5" s="3"/>
      <c r="E5" s="4" t="s">
        <v>10</v>
      </c>
      <c r="F5" s="3"/>
      <c r="G5" s="4" t="s">
        <v>10</v>
      </c>
      <c r="H5" s="3"/>
      <c r="I5" s="3"/>
      <c r="J5" s="8" t="s">
        <v>12</v>
      </c>
      <c r="K5" s="22"/>
    </row>
    <row r="6" spans="1:14">
      <c r="A6" s="1" t="s">
        <v>73</v>
      </c>
      <c r="B6" s="23">
        <f>(C6-E6)/E6</f>
        <v>-2.7187445322278902E-3</v>
      </c>
      <c r="C6" s="1">
        <v>74097</v>
      </c>
      <c r="D6" s="23">
        <f>(E6-G6)/G6</f>
        <v>-9.6239719545194013E-3</v>
      </c>
      <c r="E6" s="1">
        <v>74299</v>
      </c>
      <c r="F6" s="4"/>
      <c r="G6" s="1">
        <v>75021</v>
      </c>
      <c r="H6" s="4"/>
      <c r="I6" s="4"/>
      <c r="J6" s="1" t="s">
        <v>51</v>
      </c>
      <c r="K6" s="23">
        <f>(N6-L6)/N6</f>
        <v>5.9200193306753659E-3</v>
      </c>
      <c r="L6" s="1">
        <v>8228</v>
      </c>
      <c r="N6" s="1">
        <v>8277</v>
      </c>
    </row>
    <row r="7" spans="1:14">
      <c r="A7" s="1" t="s">
        <v>74</v>
      </c>
      <c r="B7" s="23">
        <f t="shared" ref="B7:B10" si="0">(C7-E7)/E7</f>
        <v>-6.4842105263157895E-2</v>
      </c>
      <c r="C7" s="2">
        <v>2221</v>
      </c>
      <c r="D7" s="23">
        <f t="shared" ref="D7:D10" si="1">(E7-G7)/G7</f>
        <v>2.8583802511909919E-2</v>
      </c>
      <c r="E7" s="2">
        <v>2375</v>
      </c>
      <c r="G7" s="2">
        <v>2309</v>
      </c>
      <c r="H7" s="4"/>
      <c r="I7" s="4"/>
      <c r="J7" s="1" t="s">
        <v>13</v>
      </c>
      <c r="K7" s="23">
        <f t="shared" ref="K7:K13" si="2">(N7-L7)/N7</f>
        <v>-0.71447196870925689</v>
      </c>
      <c r="L7" s="1">
        <v>1315</v>
      </c>
      <c r="N7" s="1">
        <v>767</v>
      </c>
    </row>
    <row r="8" spans="1:14">
      <c r="A8" s="7" t="s">
        <v>75</v>
      </c>
      <c r="B8" s="23">
        <f t="shared" si="0"/>
        <v>-4.6430341445600851E-3</v>
      </c>
      <c r="C8" s="1">
        <f>SUM(C6:C7)</f>
        <v>76318</v>
      </c>
      <c r="D8" s="23">
        <f t="shared" si="1"/>
        <v>-8.4831242725979562E-3</v>
      </c>
      <c r="E8" s="1">
        <f>SUM(E6:E7)</f>
        <v>76674</v>
      </c>
      <c r="G8" s="1">
        <f>SUM(G6:G7)</f>
        <v>77330</v>
      </c>
      <c r="H8" s="3"/>
      <c r="I8" s="3"/>
      <c r="J8" s="1" t="s">
        <v>14</v>
      </c>
      <c r="K8" s="23">
        <f t="shared" si="2"/>
        <v>-0.10468989107930507</v>
      </c>
      <c r="L8" s="1">
        <v>12272</v>
      </c>
      <c r="N8" s="1">
        <v>11109</v>
      </c>
    </row>
    <row r="9" spans="1:14">
      <c r="A9" s="1" t="s">
        <v>1</v>
      </c>
      <c r="B9" s="23">
        <f t="shared" si="0"/>
        <v>-9.3267366450491412E-3</v>
      </c>
      <c r="C9" s="2">
        <v>-59270</v>
      </c>
      <c r="D9" s="23">
        <f t="shared" si="1"/>
        <v>-1.3699533457524851E-2</v>
      </c>
      <c r="E9" s="2">
        <v>-59828</v>
      </c>
      <c r="F9" s="4"/>
      <c r="G9" s="2">
        <v>-60659</v>
      </c>
      <c r="H9" s="4"/>
      <c r="I9" s="4"/>
      <c r="J9" s="1" t="s">
        <v>52</v>
      </c>
      <c r="K9" s="23">
        <f t="shared" si="2"/>
        <v>-1.1841779975278122</v>
      </c>
      <c r="L9" s="1">
        <f>296+1471</f>
        <v>1767</v>
      </c>
      <c r="N9" s="1">
        <v>809</v>
      </c>
    </row>
    <row r="10" spans="1:14">
      <c r="A10" s="7" t="s">
        <v>2</v>
      </c>
      <c r="B10" s="23">
        <f t="shared" si="0"/>
        <v>1.1990977086548735E-2</v>
      </c>
      <c r="C10" s="1">
        <f>C8+C9</f>
        <v>17048</v>
      </c>
      <c r="D10" s="23">
        <f t="shared" si="1"/>
        <v>1.04972707096155E-2</v>
      </c>
      <c r="E10" s="1">
        <f>E8+E9</f>
        <v>16846</v>
      </c>
      <c r="F10" s="3"/>
      <c r="G10" s="1">
        <f>G8+G9</f>
        <v>16671</v>
      </c>
      <c r="H10" s="4"/>
      <c r="I10" s="4"/>
      <c r="J10" s="1" t="s">
        <v>77</v>
      </c>
      <c r="K10" s="23">
        <f t="shared" si="2"/>
        <v>-7.5178496430071393E-2</v>
      </c>
      <c r="L10" s="1">
        <v>2560</v>
      </c>
      <c r="N10" s="1">
        <v>2381</v>
      </c>
    </row>
    <row r="11" spans="1:14">
      <c r="A11" s="1" t="s">
        <v>50</v>
      </c>
      <c r="D11" s="24"/>
      <c r="H11" s="3"/>
      <c r="I11" s="3"/>
      <c r="J11" s="1" t="s">
        <v>15</v>
      </c>
      <c r="K11" s="23">
        <f t="shared" si="2"/>
        <v>0.18474758324382384</v>
      </c>
      <c r="L11" s="1">
        <v>759</v>
      </c>
      <c r="N11" s="1">
        <v>931</v>
      </c>
    </row>
    <row r="12" spans="1:14">
      <c r="A12" s="1" t="s">
        <v>3</v>
      </c>
      <c r="D12" s="19"/>
      <c r="F12" s="4"/>
      <c r="H12" s="4"/>
      <c r="I12" s="4"/>
      <c r="J12" s="1" t="s">
        <v>16</v>
      </c>
      <c r="K12" s="23">
        <f t="shared" si="2"/>
        <v>-0.16928446771378708</v>
      </c>
      <c r="L12" s="2">
        <v>1340</v>
      </c>
      <c r="N12" s="2">
        <v>1146</v>
      </c>
    </row>
    <row r="13" spans="1:14">
      <c r="A13" s="1" t="s">
        <v>4</v>
      </c>
      <c r="B13" s="23">
        <f t="shared" ref="B13:B23" si="3">(C13-E13)/E13</f>
        <v>1.8950437317784258E-2</v>
      </c>
      <c r="C13" s="1">
        <v>-13281</v>
      </c>
      <c r="D13" s="23">
        <f t="shared" ref="D13:D23" si="4">(E13-G13)/G13</f>
        <v>-4.7779076563413209E-2</v>
      </c>
      <c r="E13" s="1">
        <v>-13034</v>
      </c>
      <c r="G13" s="1">
        <v>-13688</v>
      </c>
      <c r="H13" s="4"/>
      <c r="I13" s="4"/>
      <c r="K13" s="23">
        <f t="shared" si="2"/>
        <v>-0.11097560975609756</v>
      </c>
      <c r="L13" s="1">
        <f>SUM(L6:L12)</f>
        <v>28241</v>
      </c>
      <c r="N13" s="9">
        <f>SUM(N6:N12)</f>
        <v>25420</v>
      </c>
    </row>
    <row r="14" spans="1:14">
      <c r="A14" s="1" t="s">
        <v>76</v>
      </c>
      <c r="B14" s="23">
        <f t="shared" si="3"/>
        <v>-3.5614525139664802E-2</v>
      </c>
      <c r="C14" s="1">
        <v>-1381</v>
      </c>
      <c r="D14" s="23">
        <f t="shared" si="4"/>
        <v>-5.6653491436100128E-2</v>
      </c>
      <c r="E14" s="1">
        <v>-1432</v>
      </c>
      <c r="G14" s="1">
        <v>-1518</v>
      </c>
      <c r="H14" s="3"/>
      <c r="I14" s="3"/>
      <c r="J14" s="8" t="s">
        <v>17</v>
      </c>
      <c r="K14" s="22"/>
    </row>
    <row r="15" spans="1:14">
      <c r="A15" s="1" t="s">
        <v>46</v>
      </c>
      <c r="B15" s="23" t="e">
        <f t="shared" si="3"/>
        <v>#DIV/0!</v>
      </c>
      <c r="C15" s="2">
        <v>149</v>
      </c>
      <c r="D15" s="23" t="e">
        <f t="shared" si="4"/>
        <v>#DIV/0!</v>
      </c>
      <c r="E15" s="2"/>
      <c r="F15" s="4"/>
      <c r="G15" s="2"/>
      <c r="H15" s="4"/>
      <c r="I15" s="4"/>
      <c r="J15" s="1" t="s">
        <v>53</v>
      </c>
      <c r="K15" s="23">
        <f t="shared" ref="K15:K22" si="5">(N15-L15)/N15</f>
        <v>-8.2781456953642391E-2</v>
      </c>
      <c r="L15" s="1">
        <v>6213</v>
      </c>
      <c r="N15" s="1">
        <v>5738</v>
      </c>
    </row>
    <row r="16" spans="1:14">
      <c r="A16" s="7" t="s">
        <v>5</v>
      </c>
      <c r="B16" s="23">
        <f t="shared" si="3"/>
        <v>6.5126050420168072E-2</v>
      </c>
      <c r="C16" s="1">
        <f>SUM(C10:C15)</f>
        <v>2535</v>
      </c>
      <c r="D16" s="23">
        <f t="shared" si="4"/>
        <v>0.62457337883959041</v>
      </c>
      <c r="E16" s="1">
        <f>SUM(E10:E15)</f>
        <v>2380</v>
      </c>
      <c r="F16" s="3"/>
      <c r="G16" s="1">
        <f>SUM(G10:G15)</f>
        <v>1465</v>
      </c>
      <c r="H16" s="3"/>
      <c r="I16" s="3"/>
      <c r="J16" s="1" t="s">
        <v>18</v>
      </c>
      <c r="K16" s="23">
        <f t="shared" si="5"/>
        <v>-2.1238138273836422E-2</v>
      </c>
      <c r="L16" s="1">
        <v>2260</v>
      </c>
      <c r="N16" s="1">
        <v>2213</v>
      </c>
    </row>
    <row r="17" spans="1:14">
      <c r="A17" s="1" t="s">
        <v>6</v>
      </c>
      <c r="B17" s="23">
        <f t="shared" si="3"/>
        <v>-0.22022160664819945</v>
      </c>
      <c r="C17" s="1">
        <v>-563</v>
      </c>
      <c r="D17" s="23">
        <f t="shared" si="4"/>
        <v>-0.18233295583238959</v>
      </c>
      <c r="E17" s="1">
        <v>-722</v>
      </c>
      <c r="F17" s="4"/>
      <c r="G17" s="1">
        <v>-883</v>
      </c>
      <c r="J17" s="1" t="s">
        <v>77</v>
      </c>
      <c r="K17" s="23">
        <f t="shared" si="5"/>
        <v>-6.1782055262340888E-2</v>
      </c>
      <c r="L17" s="1">
        <v>3420</v>
      </c>
      <c r="N17" s="1">
        <v>3221</v>
      </c>
    </row>
    <row r="18" spans="1:14">
      <c r="A18" s="1" t="s">
        <v>7</v>
      </c>
      <c r="B18" s="23">
        <f t="shared" si="3"/>
        <v>0.23333333333333334</v>
      </c>
      <c r="C18" s="2">
        <v>37</v>
      </c>
      <c r="D18" s="23">
        <f t="shared" si="4"/>
        <v>-0.58333333333333337</v>
      </c>
      <c r="E18" s="2">
        <v>30</v>
      </c>
      <c r="F18" s="4"/>
      <c r="G18" s="2">
        <v>72</v>
      </c>
      <c r="J18" s="1" t="s">
        <v>19</v>
      </c>
      <c r="K18" s="23">
        <f t="shared" si="5"/>
        <v>-0.3018276762402089</v>
      </c>
      <c r="L18" s="1">
        <f>504+1136+853</f>
        <v>2493</v>
      </c>
      <c r="N18" s="1">
        <v>1915</v>
      </c>
    </row>
    <row r="19" spans="1:14">
      <c r="A19" s="7" t="s">
        <v>47</v>
      </c>
      <c r="B19" s="23">
        <f t="shared" si="3"/>
        <v>0.19016587677725119</v>
      </c>
      <c r="C19" s="1">
        <f>SUM(C16:C18)</f>
        <v>2009</v>
      </c>
      <c r="D19" s="23">
        <f t="shared" si="4"/>
        <v>1.581039755351682</v>
      </c>
      <c r="E19" s="1">
        <f>SUM(E16:E18)</f>
        <v>1688</v>
      </c>
      <c r="F19" s="3"/>
      <c r="G19" s="1">
        <f>SUM(G16:G18)</f>
        <v>654</v>
      </c>
      <c r="J19" s="1" t="s">
        <v>78</v>
      </c>
      <c r="K19" s="23"/>
      <c r="L19" s="1">
        <v>0</v>
      </c>
      <c r="N19" s="1">
        <v>0</v>
      </c>
    </row>
    <row r="20" spans="1:14">
      <c r="A20" s="1" t="s">
        <v>8</v>
      </c>
      <c r="B20" s="23">
        <f t="shared" si="3"/>
        <v>0.12361331220285261</v>
      </c>
      <c r="C20" s="2">
        <v>-709</v>
      </c>
      <c r="D20" s="23">
        <f t="shared" si="4"/>
        <v>0.66052631578947374</v>
      </c>
      <c r="E20" s="2">
        <v>-631</v>
      </c>
      <c r="F20" s="4"/>
      <c r="G20" s="2">
        <v>-380</v>
      </c>
      <c r="J20" s="1" t="s">
        <v>54</v>
      </c>
      <c r="K20" s="23">
        <f t="shared" si="5"/>
        <v>0.34559596384275804</v>
      </c>
      <c r="L20" s="1">
        <v>3113</v>
      </c>
      <c r="N20" s="1">
        <v>4757</v>
      </c>
    </row>
    <row r="21" spans="1:14">
      <c r="A21" s="7" t="s">
        <v>48</v>
      </c>
      <c r="B21" s="23">
        <f t="shared" si="3"/>
        <v>0.22989593188268684</v>
      </c>
      <c r="C21" s="9">
        <f>SUM(C19:C20)</f>
        <v>1300</v>
      </c>
      <c r="D21" s="23">
        <f t="shared" si="4"/>
        <v>2.8576642335766422</v>
      </c>
      <c r="E21" s="9">
        <f>SUM(E19:E20)</f>
        <v>1057</v>
      </c>
      <c r="F21" s="3"/>
      <c r="G21" s="9">
        <f>SUM(G19:G20)</f>
        <v>274</v>
      </c>
      <c r="J21" s="1" t="s">
        <v>55</v>
      </c>
      <c r="K21" s="23">
        <f t="shared" si="5"/>
        <v>0.83774834437086088</v>
      </c>
      <c r="L21" s="2">
        <v>49</v>
      </c>
      <c r="N21" s="2">
        <v>302</v>
      </c>
    </row>
    <row r="22" spans="1:14">
      <c r="A22" s="1" t="s">
        <v>49</v>
      </c>
      <c r="B22" s="23">
        <f t="shared" si="3"/>
        <v>-0.78104575163398693</v>
      </c>
      <c r="C22" s="1">
        <v>67</v>
      </c>
      <c r="D22" s="23">
        <f t="shared" si="4"/>
        <v>-0.71375116931711879</v>
      </c>
      <c r="E22" s="1">
        <v>306</v>
      </c>
      <c r="G22" s="1">
        <v>1069</v>
      </c>
      <c r="K22" s="23">
        <f t="shared" si="5"/>
        <v>3.2954921194753663E-2</v>
      </c>
      <c r="L22" s="1">
        <f>SUM(L15:L21)</f>
        <v>17548</v>
      </c>
      <c r="N22" s="1">
        <f>SUM(N15:N21)</f>
        <v>18146</v>
      </c>
    </row>
    <row r="23" spans="1:14" ht="16" thickBot="1">
      <c r="A23" s="7" t="s">
        <v>9</v>
      </c>
      <c r="B23" s="23">
        <f t="shared" si="3"/>
        <v>2.93470286133529E-3</v>
      </c>
      <c r="C23" s="5">
        <f>SUM(C21:C22)</f>
        <v>1367</v>
      </c>
      <c r="D23" s="23">
        <f t="shared" si="4"/>
        <v>1.4892032762472078E-2</v>
      </c>
      <c r="E23" s="5">
        <f>SUM(E21:E22)</f>
        <v>1363</v>
      </c>
      <c r="G23" s="5">
        <f>SUM(G21:G22)</f>
        <v>1343</v>
      </c>
    </row>
    <row r="24" spans="1:14" ht="17" thickTop="1" thickBot="1">
      <c r="C24" s="12"/>
      <c r="E24" s="12"/>
      <c r="G24" s="12"/>
      <c r="J24" s="10" t="s">
        <v>20</v>
      </c>
      <c r="K24" s="23">
        <f>(N24-L24)/N24</f>
        <v>-5.1026029472524444E-2</v>
      </c>
      <c r="L24" s="5">
        <f>L13+L22</f>
        <v>45789</v>
      </c>
      <c r="N24" s="5">
        <f>N22+N13</f>
        <v>43566</v>
      </c>
    </row>
    <row r="25" spans="1:14" ht="16" thickTop="1">
      <c r="A25" s="8" t="s">
        <v>30</v>
      </c>
      <c r="B25" s="20"/>
      <c r="C25" s="12"/>
      <c r="E25" s="12"/>
      <c r="G25" s="12"/>
    </row>
    <row r="26" spans="1:14">
      <c r="A26" s="1" t="s">
        <v>31</v>
      </c>
      <c r="C26" s="12">
        <f>C10/C6</f>
        <v>0.23007679123311336</v>
      </c>
      <c r="E26" s="12"/>
      <c r="G26" s="12"/>
      <c r="J26" s="8" t="s">
        <v>21</v>
      </c>
      <c r="K26" s="22"/>
    </row>
    <row r="27" spans="1:14">
      <c r="A27" s="1" t="s">
        <v>32</v>
      </c>
      <c r="C27" s="12">
        <f>C16/C6</f>
        <v>3.4211911413417548E-2</v>
      </c>
      <c r="E27" s="12"/>
      <c r="G27" s="12"/>
      <c r="J27" s="1" t="s">
        <v>79</v>
      </c>
      <c r="K27" s="23">
        <f t="shared" ref="K27:K34" si="6">(N27-L27)/N27</f>
        <v>-4.3969102792632206E-2</v>
      </c>
      <c r="L27" s="1">
        <v>1757</v>
      </c>
      <c r="N27" s="1">
        <v>1683</v>
      </c>
    </row>
    <row r="28" spans="1:14">
      <c r="A28" s="1" t="s">
        <v>57</v>
      </c>
      <c r="C28" s="12">
        <f>C23/C6</f>
        <v>1.8448790099464214E-2</v>
      </c>
      <c r="E28" s="12"/>
      <c r="G28" s="12"/>
      <c r="J28" s="1" t="s">
        <v>22</v>
      </c>
      <c r="K28" s="23">
        <f t="shared" si="6"/>
        <v>-4.1232301229189354E-2</v>
      </c>
      <c r="L28" s="1">
        <v>13384</v>
      </c>
      <c r="N28" s="1">
        <v>12854</v>
      </c>
    </row>
    <row r="29" spans="1:14">
      <c r="A29" s="1" t="s">
        <v>84</v>
      </c>
      <c r="C29" s="12">
        <f>C23/L42</f>
        <v>0.13365271802894016</v>
      </c>
      <c r="E29" s="12"/>
      <c r="G29" s="12"/>
      <c r="J29" s="1" t="s">
        <v>80</v>
      </c>
      <c r="K29" s="23">
        <f t="shared" si="6"/>
        <v>-0.18219395866454691</v>
      </c>
      <c r="L29" s="1">
        <v>3718</v>
      </c>
      <c r="N29" s="1">
        <v>3145</v>
      </c>
    </row>
    <row r="30" spans="1:14">
      <c r="A30" s="1" t="s">
        <v>58</v>
      </c>
      <c r="C30" s="12">
        <f>(C16+C18)/(L42+L36)</f>
        <v>0.15091239805198614</v>
      </c>
      <c r="E30" s="12"/>
      <c r="G30" s="12"/>
      <c r="J30" s="1" t="s">
        <v>81</v>
      </c>
      <c r="K30" s="23">
        <f t="shared" si="6"/>
        <v>-0.12153110047846891</v>
      </c>
      <c r="L30" s="1">
        <v>1172</v>
      </c>
      <c r="N30" s="1">
        <v>1045</v>
      </c>
    </row>
    <row r="31" spans="1:14">
      <c r="J31" s="1" t="s">
        <v>23</v>
      </c>
      <c r="K31" s="23"/>
      <c r="L31" s="1">
        <v>0</v>
      </c>
      <c r="N31" s="1">
        <v>0</v>
      </c>
    </row>
    <row r="32" spans="1:14">
      <c r="A32" s="8" t="s">
        <v>35</v>
      </c>
      <c r="B32" s="20"/>
      <c r="J32" s="1" t="s">
        <v>24</v>
      </c>
      <c r="K32" s="23">
        <f t="shared" si="6"/>
        <v>-9.3738689829895042E-2</v>
      </c>
      <c r="L32" s="1">
        <v>3022</v>
      </c>
      <c r="N32" s="1">
        <v>2763</v>
      </c>
    </row>
    <row r="33" spans="1:14">
      <c r="A33" s="1" t="s">
        <v>36</v>
      </c>
      <c r="C33" s="13">
        <f>L22/L34</f>
        <v>0.76116942829877676</v>
      </c>
      <c r="E33" s="13"/>
      <c r="G33" s="13"/>
      <c r="J33" s="1" t="s">
        <v>56</v>
      </c>
      <c r="K33" s="23">
        <f t="shared" si="6"/>
        <v>0.95833333333333337</v>
      </c>
      <c r="L33" s="2">
        <v>1</v>
      </c>
      <c r="N33" s="2">
        <v>24</v>
      </c>
    </row>
    <row r="34" spans="1:14">
      <c r="A34" s="1" t="s">
        <v>37</v>
      </c>
      <c r="C34" s="13">
        <f>(L22-L15)/L34</f>
        <v>0.49167172724906738</v>
      </c>
      <c r="E34" s="13"/>
      <c r="G34" s="13"/>
      <c r="K34" s="23">
        <f t="shared" si="6"/>
        <v>-7.1581295900343955E-2</v>
      </c>
      <c r="L34" s="1">
        <f>SUM(L27:L33)</f>
        <v>23054</v>
      </c>
      <c r="N34" s="1">
        <f>SUM(N27:N33)</f>
        <v>21514</v>
      </c>
    </row>
    <row r="35" spans="1:14">
      <c r="J35" s="8" t="s">
        <v>25</v>
      </c>
      <c r="K35" s="22"/>
    </row>
    <row r="36" spans="1:14">
      <c r="A36" s="8" t="s">
        <v>62</v>
      </c>
      <c r="B36" s="20"/>
      <c r="C36" s="13"/>
      <c r="E36" s="13"/>
      <c r="G36" s="13"/>
      <c r="J36" s="1" t="s">
        <v>82</v>
      </c>
      <c r="K36" s="23">
        <f t="shared" ref="K36:K40" si="7">(N36-L36)/N36</f>
        <v>9.7350993377483444E-2</v>
      </c>
      <c r="L36" s="1">
        <v>6815</v>
      </c>
      <c r="N36" s="1">
        <v>7550</v>
      </c>
    </row>
    <row r="37" spans="1:14">
      <c r="A37" s="1" t="s">
        <v>33</v>
      </c>
      <c r="C37" s="13">
        <f>C6/L13</f>
        <v>2.6237385361708156</v>
      </c>
      <c r="E37" s="13"/>
      <c r="G37" s="13"/>
      <c r="J37" s="1" t="s">
        <v>23</v>
      </c>
      <c r="K37" s="23">
        <f t="shared" si="7"/>
        <v>1.0226644555002764E-2</v>
      </c>
      <c r="L37" s="1">
        <v>3581</v>
      </c>
      <c r="N37" s="1">
        <v>3618</v>
      </c>
    </row>
    <row r="38" spans="1:14">
      <c r="A38" s="1" t="s">
        <v>59</v>
      </c>
      <c r="C38" s="1">
        <f>(L15/C9)*365*-1</f>
        <v>38.261262021258645</v>
      </c>
      <c r="J38" s="1" t="s">
        <v>80</v>
      </c>
      <c r="K38" s="23">
        <f t="shared" si="7"/>
        <v>9.9716713881019825E-2</v>
      </c>
      <c r="L38" s="1">
        <v>1589</v>
      </c>
      <c r="N38" s="1">
        <v>1765</v>
      </c>
    </row>
    <row r="39" spans="1:14">
      <c r="A39" s="1" t="s">
        <v>34</v>
      </c>
      <c r="C39" s="18">
        <f>C9/L15*-1</f>
        <v>9.5396748752615483</v>
      </c>
      <c r="E39" s="18"/>
      <c r="G39" s="18"/>
      <c r="J39" s="1" t="s">
        <v>26</v>
      </c>
      <c r="K39" s="23"/>
      <c r="N39" s="1">
        <v>0</v>
      </c>
    </row>
    <row r="40" spans="1:14">
      <c r="A40" s="1" t="s">
        <v>60</v>
      </c>
      <c r="C40" s="18">
        <f>L16/C6*365</f>
        <v>11.13270442797954</v>
      </c>
      <c r="E40" s="18"/>
      <c r="G40" s="18"/>
      <c r="J40" s="1" t="s">
        <v>16</v>
      </c>
      <c r="K40" s="23">
        <f t="shared" si="7"/>
        <v>-3.838771593090211E-3</v>
      </c>
      <c r="L40" s="2">
        <v>523</v>
      </c>
      <c r="N40" s="2">
        <v>521</v>
      </c>
    </row>
    <row r="41" spans="1:14">
      <c r="A41" s="1" t="s">
        <v>61</v>
      </c>
      <c r="C41" s="18">
        <f>L28/C9*365*-1</f>
        <v>82.422135987852201</v>
      </c>
      <c r="E41" s="18"/>
      <c r="G41" s="18"/>
      <c r="L41" s="1">
        <f>SUM(L36:L40)</f>
        <v>12508</v>
      </c>
      <c r="N41" s="1">
        <f>SUM(N36:N40)</f>
        <v>13454</v>
      </c>
    </row>
    <row r="42" spans="1:14">
      <c r="J42" s="1" t="s">
        <v>27</v>
      </c>
      <c r="K42" s="23">
        <f t="shared" ref="K42:K43" si="8">(N42-L42)/N42</f>
        <v>-0.1895789718539195</v>
      </c>
      <c r="L42" s="1">
        <v>10228</v>
      </c>
      <c r="N42" s="1">
        <v>8598</v>
      </c>
    </row>
    <row r="43" spans="1:14" ht="16" thickBot="1">
      <c r="A43" s="8" t="s">
        <v>63</v>
      </c>
      <c r="B43" s="20"/>
      <c r="J43" s="1" t="s">
        <v>28</v>
      </c>
      <c r="K43" s="23">
        <f t="shared" si="8"/>
        <v>-5.1048983151999267E-2</v>
      </c>
      <c r="L43" s="5">
        <f>L34+L41+L42</f>
        <v>45790</v>
      </c>
      <c r="N43" s="5">
        <f>N34+N41+N42</f>
        <v>43566</v>
      </c>
    </row>
    <row r="44" spans="1:14" ht="16" thickTop="1">
      <c r="A44" s="1" t="s">
        <v>64</v>
      </c>
      <c r="C44" s="15">
        <f>C23/L46*1000000</f>
        <v>1.9324351106348998</v>
      </c>
      <c r="E44" s="15"/>
      <c r="G44" s="15"/>
    </row>
    <row r="45" spans="1:14">
      <c r="A45" s="1" t="s">
        <v>65</v>
      </c>
      <c r="C45" s="13">
        <f>L47/C44</f>
        <v>13.092289547403073</v>
      </c>
      <c r="E45" s="13"/>
      <c r="G45" s="13"/>
    </row>
    <row r="46" spans="1:14">
      <c r="A46" s="1" t="s">
        <v>66</v>
      </c>
      <c r="C46" s="13">
        <f>C44/L49</f>
        <v>2.8418163391689699</v>
      </c>
      <c r="J46" s="1" t="s">
        <v>42</v>
      </c>
      <c r="K46" s="23">
        <f t="shared" ref="K46:K49" si="9">(N46-L46)/N46</f>
        <v>-1.7947286937735916E-2</v>
      </c>
      <c r="L46" s="26">
        <v>707397621</v>
      </c>
      <c r="N46" s="2">
        <v>694925592</v>
      </c>
    </row>
    <row r="47" spans="1:14">
      <c r="A47" s="1" t="s">
        <v>67</v>
      </c>
      <c r="C47" s="25">
        <f>L49/L47</f>
        <v>2.6877470355731226E-2</v>
      </c>
      <c r="E47" s="12"/>
      <c r="G47" s="12"/>
      <c r="J47" s="1" t="s">
        <v>71</v>
      </c>
      <c r="K47" s="23">
        <f t="shared" si="9"/>
        <v>0.12183269698021514</v>
      </c>
      <c r="L47" s="16">
        <v>25.3</v>
      </c>
      <c r="N47" s="16">
        <v>28.81</v>
      </c>
    </row>
    <row r="48" spans="1:14">
      <c r="A48" s="1" t="s">
        <v>68</v>
      </c>
      <c r="C48" s="13">
        <f>L36/L42</f>
        <v>0.66630817364098549</v>
      </c>
      <c r="E48" s="13"/>
      <c r="G48" s="13"/>
      <c r="J48" s="1" t="s">
        <v>72</v>
      </c>
      <c r="K48" s="23">
        <f t="shared" si="9"/>
        <v>0.1060719764135815</v>
      </c>
      <c r="L48" s="2">
        <f>L46*L47</f>
        <v>17897159811.299999</v>
      </c>
      <c r="N48" s="2">
        <f>N46*N47</f>
        <v>20020806305.52</v>
      </c>
    </row>
    <row r="49" spans="1:14">
      <c r="A49" s="1" t="s">
        <v>69</v>
      </c>
      <c r="C49" s="13">
        <f>C16/C17*-1</f>
        <v>4.5026642984014211</v>
      </c>
      <c r="E49" s="13"/>
      <c r="G49" s="13"/>
      <c r="J49" s="1" t="s">
        <v>83</v>
      </c>
      <c r="K49" s="23">
        <f t="shared" si="9"/>
        <v>-9.6774193548387177E-2</v>
      </c>
      <c r="L49" s="16">
        <v>0.68</v>
      </c>
      <c r="N49" s="16">
        <v>0.62</v>
      </c>
    </row>
    <row r="51" spans="1:14">
      <c r="A51" s="8" t="s">
        <v>38</v>
      </c>
      <c r="B51" s="20"/>
    </row>
    <row r="52" spans="1:14">
      <c r="A52" s="1" t="s">
        <v>39</v>
      </c>
      <c r="C52" s="12">
        <f>C20/C19</f>
        <v>-0.35291189646590343</v>
      </c>
      <c r="E52" s="12"/>
    </row>
    <row r="53" spans="1:14">
      <c r="A53" s="1" t="s">
        <v>70</v>
      </c>
      <c r="C53" s="12">
        <f>C12/C8</f>
        <v>0</v>
      </c>
      <c r="E53" s="12"/>
    </row>
    <row r="54" spans="1:14">
      <c r="A54" s="1" t="s">
        <v>40</v>
      </c>
      <c r="C54" s="12">
        <f>(L6+L7)/L24</f>
        <v>0.208412500818974</v>
      </c>
      <c r="E54" s="12"/>
    </row>
    <row r="55" spans="1:14">
      <c r="A55" s="1" t="s">
        <v>41</v>
      </c>
      <c r="C55" s="12">
        <f>(L6+L7)/L42</f>
        <v>0.93302698474775125</v>
      </c>
      <c r="E55" s="12"/>
    </row>
    <row r="56" spans="1:14">
      <c r="A56" s="27" t="s">
        <v>89</v>
      </c>
    </row>
  </sheetData>
  <phoneticPr fontId="7" type="noConversion"/>
  <pageMargins left="0.75000000000000011" right="0.75000000000000011" top="1" bottom="1" header="0.5" footer="0.5"/>
  <pageSetup paperSize="9" scale="52" orientation="landscape" horizontalDpi="4294967292" verticalDpi="4294967292"/>
  <headerFooter>
    <oddHeader>&amp;L&amp;"Calibri,Regular"&amp;K000000Session 4 SM 2 Trend Analysis - Data Template_x000D_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56"/>
  <sheetViews>
    <sheetView zoomScale="92" zoomScaleNormal="92" zoomScalePageLayoutView="92" workbookViewId="0">
      <selection activeCell="C56" sqref="C56"/>
    </sheetView>
  </sheetViews>
  <sheetFormatPr baseColWidth="10" defaultRowHeight="15" x14ac:dyDescent="0"/>
  <cols>
    <col min="1" max="1" width="42.83203125" style="1" customWidth="1"/>
    <col min="2" max="2" width="10.83203125" style="1" hidden="1" customWidth="1"/>
    <col min="3" max="3" width="10.83203125" style="1" customWidth="1"/>
    <col min="4" max="4" width="14" style="19" hidden="1" customWidth="1"/>
    <col min="5" max="5" width="0" style="1" hidden="1" customWidth="1"/>
    <col min="6" max="6" width="12" style="1" hidden="1" customWidth="1"/>
    <col min="7" max="7" width="0" style="1" hidden="1" customWidth="1"/>
    <col min="8" max="8" width="11.1640625" style="1" hidden="1" customWidth="1"/>
    <col min="9" max="9" width="0" style="1" hidden="1" customWidth="1"/>
    <col min="10" max="10" width="10.83203125" style="1"/>
    <col min="11" max="11" width="32.1640625" style="1" customWidth="1"/>
    <col min="12" max="12" width="14" style="1" hidden="1" customWidth="1"/>
    <col min="13" max="13" width="14" style="1" customWidth="1"/>
    <col min="14" max="14" width="10.6640625" style="4" hidden="1" customWidth="1"/>
    <col min="15" max="15" width="14" style="1" hidden="1" customWidth="1"/>
    <col min="16" max="16" width="5" style="1" hidden="1" customWidth="1"/>
    <col min="17" max="17" width="14.6640625" style="1" hidden="1" customWidth="1"/>
    <col min="18" max="16384" width="10.83203125" style="1"/>
  </cols>
  <sheetData>
    <row r="1" spans="1:17">
      <c r="A1" s="1" t="s">
        <v>29</v>
      </c>
      <c r="L1" s="4"/>
    </row>
    <row r="2" spans="1:17">
      <c r="A2" s="1" t="s">
        <v>87</v>
      </c>
      <c r="B2" s="19" t="s">
        <v>85</v>
      </c>
      <c r="D2" s="19" t="s">
        <v>85</v>
      </c>
      <c r="F2" s="19" t="s">
        <v>85</v>
      </c>
      <c r="L2" s="19" t="s">
        <v>85</v>
      </c>
      <c r="N2" s="19" t="s">
        <v>85</v>
      </c>
    </row>
    <row r="3" spans="1:17">
      <c r="B3" s="21" t="s">
        <v>86</v>
      </c>
      <c r="C3" s="14" t="s">
        <v>88</v>
      </c>
      <c r="D3" s="21" t="s">
        <v>86</v>
      </c>
      <c r="E3" s="14" t="s">
        <v>43</v>
      </c>
      <c r="F3" s="21" t="s">
        <v>86</v>
      </c>
      <c r="G3" s="14" t="s">
        <v>44</v>
      </c>
      <c r="H3" s="14"/>
      <c r="I3" s="14" t="s">
        <v>45</v>
      </c>
      <c r="J3" s="14"/>
      <c r="K3" s="14"/>
      <c r="L3" s="21" t="s">
        <v>86</v>
      </c>
      <c r="M3" s="14" t="s">
        <v>88</v>
      </c>
      <c r="N3" s="21" t="s">
        <v>86</v>
      </c>
      <c r="O3" s="14" t="s">
        <v>43</v>
      </c>
      <c r="P3" s="14"/>
      <c r="Q3" s="14" t="s">
        <v>44</v>
      </c>
    </row>
    <row r="4" spans="1:17">
      <c r="A4" s="6" t="s">
        <v>0</v>
      </c>
      <c r="B4" s="20"/>
      <c r="D4" s="20"/>
      <c r="K4" s="6" t="s">
        <v>11</v>
      </c>
      <c r="L4" s="20"/>
      <c r="M4" s="4" t="s">
        <v>10</v>
      </c>
      <c r="N4" s="20"/>
      <c r="O4" s="4" t="s">
        <v>10</v>
      </c>
      <c r="Q4" s="11" t="s">
        <v>10</v>
      </c>
    </row>
    <row r="5" spans="1:17">
      <c r="B5" s="19"/>
      <c r="C5" s="4" t="s">
        <v>10</v>
      </c>
      <c r="E5" s="4" t="s">
        <v>10</v>
      </c>
      <c r="F5" s="3"/>
      <c r="G5" s="4" t="s">
        <v>10</v>
      </c>
      <c r="H5" s="3"/>
      <c r="I5" s="4" t="s">
        <v>10</v>
      </c>
      <c r="J5" s="3"/>
      <c r="K5" s="8" t="s">
        <v>12</v>
      </c>
      <c r="L5" s="22"/>
      <c r="N5" s="22"/>
    </row>
    <row r="6" spans="1:17">
      <c r="A6" s="1" t="s">
        <v>73</v>
      </c>
      <c r="B6" s="23">
        <f>(C6-E6)/E6</f>
        <v>-2.7187445322278902E-3</v>
      </c>
      <c r="C6" s="1">
        <v>74097</v>
      </c>
      <c r="D6" s="23">
        <f>(E6-G6)/G6</f>
        <v>-9.6239719545194013E-3</v>
      </c>
      <c r="E6" s="1">
        <v>74299</v>
      </c>
      <c r="F6" s="23">
        <f>(G6-I6)/I6</f>
        <v>-3.1359209110116003E-3</v>
      </c>
      <c r="G6" s="1">
        <v>75021</v>
      </c>
      <c r="H6" s="4"/>
      <c r="I6" s="1">
        <v>75257</v>
      </c>
      <c r="J6" s="4"/>
      <c r="K6" s="1" t="s">
        <v>51</v>
      </c>
      <c r="L6" s="23">
        <f>(M6-O6)/O6</f>
        <v>-5.9200193306753659E-3</v>
      </c>
      <c r="M6" s="1">
        <v>8228</v>
      </c>
      <c r="N6" s="23">
        <f>(O6-Q6)/Q6</f>
        <v>-3.8452602230483274E-2</v>
      </c>
      <c r="O6" s="1">
        <v>8277</v>
      </c>
      <c r="Q6" s="1">
        <v>8608</v>
      </c>
    </row>
    <row r="7" spans="1:17">
      <c r="A7" s="1" t="s">
        <v>74</v>
      </c>
      <c r="B7" s="23">
        <f t="shared" ref="B7:B10" si="0">(C7-E7)/E7</f>
        <v>-6.4842105263157895E-2</v>
      </c>
      <c r="C7" s="2">
        <v>2221</v>
      </c>
      <c r="D7" s="23">
        <f t="shared" ref="D7:D10" si="1">(E7-G7)/G7</f>
        <v>2.8583802511909919E-2</v>
      </c>
      <c r="E7" s="2">
        <v>2375</v>
      </c>
      <c r="F7" s="23">
        <f t="shared" ref="F7:F10" si="2">(G7-I7)/I7</f>
        <v>3.8219424460431653E-2</v>
      </c>
      <c r="G7" s="2">
        <v>2309</v>
      </c>
      <c r="I7" s="2">
        <v>2224</v>
      </c>
      <c r="J7" s="4"/>
      <c r="K7" s="1" t="s">
        <v>13</v>
      </c>
      <c r="L7" s="23">
        <f t="shared" ref="L7:L13" si="3">(M7-O7)/O7</f>
        <v>0.71447196870925689</v>
      </c>
      <c r="M7" s="1">
        <v>1315</v>
      </c>
      <c r="N7" s="23">
        <f t="shared" ref="N7:N13" si="4">(O7-Q7)/Q7</f>
        <v>-4.2446941323345817E-2</v>
      </c>
      <c r="O7" s="1">
        <v>767</v>
      </c>
      <c r="Q7" s="1">
        <v>801</v>
      </c>
    </row>
    <row r="8" spans="1:17">
      <c r="A8" s="7" t="s">
        <v>75</v>
      </c>
      <c r="B8" s="23">
        <f t="shared" si="0"/>
        <v>-4.6430341445600851E-3</v>
      </c>
      <c r="C8" s="1">
        <f>SUM(C6:C7)</f>
        <v>76318</v>
      </c>
      <c r="D8" s="23">
        <f t="shared" si="1"/>
        <v>-8.4831242725979562E-3</v>
      </c>
      <c r="E8" s="1">
        <f>SUM(E6:E7)</f>
        <v>76674</v>
      </c>
      <c r="F8" s="23">
        <f t="shared" si="2"/>
        <v>-1.948864883003575E-3</v>
      </c>
      <c r="G8" s="1">
        <f>SUM(G6:G7)</f>
        <v>77330</v>
      </c>
      <c r="I8" s="1">
        <f>SUM(I6:I7)</f>
        <v>77481</v>
      </c>
      <c r="J8" s="3"/>
      <c r="K8" s="1" t="s">
        <v>14</v>
      </c>
      <c r="L8" s="23">
        <f t="shared" si="3"/>
        <v>0.10468989107930507</v>
      </c>
      <c r="M8" s="1">
        <v>12272</v>
      </c>
      <c r="N8" s="23">
        <f t="shared" si="4"/>
        <v>-3.475540881049613E-2</v>
      </c>
      <c r="O8" s="1">
        <v>11109</v>
      </c>
      <c r="Q8" s="1">
        <v>11509</v>
      </c>
    </row>
    <row r="9" spans="1:17">
      <c r="A9" s="1" t="s">
        <v>1</v>
      </c>
      <c r="B9" s="23">
        <f t="shared" si="0"/>
        <v>-9.3267366450491412E-3</v>
      </c>
      <c r="C9" s="2">
        <v>-59270</v>
      </c>
      <c r="D9" s="23">
        <f t="shared" si="1"/>
        <v>-1.3699533457524851E-2</v>
      </c>
      <c r="E9" s="2">
        <v>-59828</v>
      </c>
      <c r="F9" s="23">
        <f t="shared" si="2"/>
        <v>-2.3074514199067131E-4</v>
      </c>
      <c r="G9" s="2">
        <v>-60659</v>
      </c>
      <c r="H9" s="4"/>
      <c r="I9" s="2">
        <v>-60673</v>
      </c>
      <c r="J9" s="4"/>
      <c r="K9" s="1" t="s">
        <v>52</v>
      </c>
      <c r="L9" s="23">
        <f t="shared" si="3"/>
        <v>1.1841779975278122</v>
      </c>
      <c r="M9" s="1">
        <f>296+1471</f>
        <v>1767</v>
      </c>
      <c r="N9" s="23">
        <f t="shared" si="4"/>
        <v>-9.8104793756967665E-2</v>
      </c>
      <c r="O9" s="1">
        <v>809</v>
      </c>
      <c r="Q9" s="1">
        <v>897</v>
      </c>
    </row>
    <row r="10" spans="1:17">
      <c r="A10" s="7" t="s">
        <v>2</v>
      </c>
      <c r="B10" s="23">
        <f t="shared" si="0"/>
        <v>1.1990977086548735E-2</v>
      </c>
      <c r="C10" s="1">
        <f>C8+C9</f>
        <v>17048</v>
      </c>
      <c r="D10" s="23">
        <f t="shared" si="1"/>
        <v>1.04972707096155E-2</v>
      </c>
      <c r="E10" s="1">
        <f>E8+E9</f>
        <v>16846</v>
      </c>
      <c r="F10" s="23">
        <f t="shared" si="2"/>
        <v>-8.150880533079486E-3</v>
      </c>
      <c r="G10" s="1">
        <f>G8+G9</f>
        <v>16671</v>
      </c>
      <c r="H10" s="3"/>
      <c r="I10" s="1">
        <f>I8+I9</f>
        <v>16808</v>
      </c>
      <c r="J10" s="4"/>
      <c r="K10" s="1" t="s">
        <v>77</v>
      </c>
      <c r="L10" s="23">
        <f t="shared" si="3"/>
        <v>7.5178496430071393E-2</v>
      </c>
      <c r="M10" s="1">
        <v>2560</v>
      </c>
      <c r="N10" s="23">
        <f t="shared" si="4"/>
        <v>8.8983050847457629E-3</v>
      </c>
      <c r="O10" s="1">
        <v>2381</v>
      </c>
      <c r="Q10" s="1">
        <v>2360</v>
      </c>
    </row>
    <row r="11" spans="1:17">
      <c r="A11" s="1" t="s">
        <v>50</v>
      </c>
      <c r="B11" s="19"/>
      <c r="F11" s="24"/>
      <c r="J11" s="3"/>
      <c r="K11" s="1" t="s">
        <v>15</v>
      </c>
      <c r="L11" s="23">
        <f t="shared" si="3"/>
        <v>-0.18474758324382384</v>
      </c>
      <c r="M11" s="1">
        <v>759</v>
      </c>
      <c r="N11" s="23">
        <f t="shared" si="4"/>
        <v>1.3057671381936888E-2</v>
      </c>
      <c r="O11" s="1">
        <v>931</v>
      </c>
      <c r="Q11" s="1">
        <v>919</v>
      </c>
    </row>
    <row r="12" spans="1:17">
      <c r="A12" s="1" t="s">
        <v>3</v>
      </c>
      <c r="B12" s="19"/>
      <c r="F12" s="19"/>
      <c r="H12" s="4"/>
      <c r="J12" s="4"/>
      <c r="K12" s="1" t="s">
        <v>16</v>
      </c>
      <c r="L12" s="23">
        <f t="shared" si="3"/>
        <v>0.16928446771378708</v>
      </c>
      <c r="M12" s="2">
        <v>1340</v>
      </c>
      <c r="N12" s="23">
        <f t="shared" si="4"/>
        <v>1.8666666666666668E-2</v>
      </c>
      <c r="O12" s="2">
        <v>1146</v>
      </c>
      <c r="Q12" s="2">
        <v>1125</v>
      </c>
    </row>
    <row r="13" spans="1:17">
      <c r="A13" s="1" t="s">
        <v>4</v>
      </c>
      <c r="B13" s="23">
        <f t="shared" ref="B13:B23" si="5">(C13-E13)/E13</f>
        <v>1.8950437317784258E-2</v>
      </c>
      <c r="C13" s="1">
        <v>-13281</v>
      </c>
      <c r="D13" s="23">
        <f t="shared" ref="D13:D23" si="6">(E13-G13)/G13</f>
        <v>-4.7779076563413209E-2</v>
      </c>
      <c r="E13" s="1">
        <v>-13034</v>
      </c>
      <c r="F13" s="23">
        <f t="shared" ref="F13:F23" si="7">(G13-I13)/I13</f>
        <v>4.8085758039816233E-2</v>
      </c>
      <c r="G13" s="1">
        <v>-13688</v>
      </c>
      <c r="I13" s="1">
        <v>-13060</v>
      </c>
      <c r="J13" s="4"/>
      <c r="L13" s="23">
        <f t="shared" si="3"/>
        <v>0.11097560975609756</v>
      </c>
      <c r="M13" s="9">
        <f>SUM(M6:M12)</f>
        <v>28241</v>
      </c>
      <c r="N13" s="23">
        <f t="shared" si="4"/>
        <v>-3.0474083679774208E-2</v>
      </c>
      <c r="O13" s="9">
        <f>SUM(O6:O12)</f>
        <v>25420</v>
      </c>
      <c r="Q13" s="9">
        <f>SUM(Q6:Q12)</f>
        <v>26219</v>
      </c>
    </row>
    <row r="14" spans="1:17">
      <c r="A14" s="1" t="s">
        <v>76</v>
      </c>
      <c r="B14" s="23">
        <f t="shared" si="5"/>
        <v>-3.5614525139664802E-2</v>
      </c>
      <c r="C14" s="1">
        <v>-1381</v>
      </c>
      <c r="D14" s="23">
        <f t="shared" si="6"/>
        <v>-5.6653491436100128E-2</v>
      </c>
      <c r="E14" s="1">
        <v>-1432</v>
      </c>
      <c r="F14" s="23">
        <f t="shared" si="7"/>
        <v>-2.1907216494845359E-2</v>
      </c>
      <c r="G14" s="1">
        <v>-1518</v>
      </c>
      <c r="I14" s="1">
        <v>-1552</v>
      </c>
      <c r="J14" s="3"/>
      <c r="K14" s="8" t="s">
        <v>17</v>
      </c>
      <c r="L14" s="22"/>
      <c r="N14" s="22"/>
    </row>
    <row r="15" spans="1:17">
      <c r="A15" s="1" t="s">
        <v>46</v>
      </c>
      <c r="B15" s="23" t="e">
        <f t="shared" si="5"/>
        <v>#DIV/0!</v>
      </c>
      <c r="C15" s="2">
        <v>149</v>
      </c>
      <c r="D15" s="23" t="e">
        <f t="shared" si="6"/>
        <v>#DIV/0!</v>
      </c>
      <c r="E15" s="2"/>
      <c r="F15" s="23">
        <f t="shared" si="7"/>
        <v>-1</v>
      </c>
      <c r="G15" s="2"/>
      <c r="H15" s="4"/>
      <c r="I15" s="2">
        <v>-2337</v>
      </c>
      <c r="J15" s="4"/>
      <c r="K15" s="1" t="s">
        <v>53</v>
      </c>
      <c r="L15" s="23">
        <f t="shared" ref="L15:L22" si="8">(M15-O15)/O15</f>
        <v>8.2781456953642391E-2</v>
      </c>
      <c r="M15" s="1">
        <v>6213</v>
      </c>
      <c r="N15" s="23">
        <f t="shared" ref="N15:N22" si="9">(O15-Q15)/Q15</f>
        <v>1.4139271827500884E-2</v>
      </c>
      <c r="O15" s="1">
        <v>5738</v>
      </c>
      <c r="Q15" s="1">
        <v>5658</v>
      </c>
    </row>
    <row r="16" spans="1:17">
      <c r="A16" s="7" t="s">
        <v>5</v>
      </c>
      <c r="B16" s="23">
        <f t="shared" si="5"/>
        <v>6.5126050420168072E-2</v>
      </c>
      <c r="C16" s="1">
        <f>SUM(C10:C15)</f>
        <v>2535</v>
      </c>
      <c r="D16" s="23">
        <f t="shared" si="6"/>
        <v>0.62457337883959041</v>
      </c>
      <c r="E16" s="1">
        <f>SUM(E10:E15)</f>
        <v>2380</v>
      </c>
      <c r="F16" s="23">
        <f t="shared" si="7"/>
        <v>-11.390070921985815</v>
      </c>
      <c r="G16" s="1">
        <f>SUM(G10:G15)</f>
        <v>1465</v>
      </c>
      <c r="H16" s="3"/>
      <c r="I16" s="1">
        <f>SUM(I10:I15)</f>
        <v>-141</v>
      </c>
      <c r="J16" s="3"/>
      <c r="K16" s="1" t="s">
        <v>18</v>
      </c>
      <c r="L16" s="23">
        <f t="shared" si="8"/>
        <v>2.1238138273836422E-2</v>
      </c>
      <c r="M16" s="1">
        <v>2260</v>
      </c>
      <c r="N16" s="23">
        <f t="shared" si="9"/>
        <v>3.2182835820895525E-2</v>
      </c>
      <c r="O16" s="1">
        <v>2213</v>
      </c>
      <c r="Q16" s="1">
        <v>2144</v>
      </c>
    </row>
    <row r="17" spans="1:17">
      <c r="A17" s="1" t="s">
        <v>6</v>
      </c>
      <c r="B17" s="23">
        <f t="shared" si="5"/>
        <v>-0.22022160664819945</v>
      </c>
      <c r="C17" s="1">
        <v>-563</v>
      </c>
      <c r="D17" s="23">
        <f t="shared" si="6"/>
        <v>-0.18233295583238959</v>
      </c>
      <c r="E17" s="1">
        <v>-722</v>
      </c>
      <c r="F17" s="23">
        <f t="shared" si="7"/>
        <v>0.25248226950354608</v>
      </c>
      <c r="G17" s="1">
        <v>-883</v>
      </c>
      <c r="H17" s="4"/>
      <c r="I17" s="1">
        <v>-705</v>
      </c>
      <c r="K17" s="1" t="s">
        <v>77</v>
      </c>
      <c r="L17" s="23">
        <f t="shared" si="8"/>
        <v>6.1782055262340888E-2</v>
      </c>
      <c r="M17" s="1">
        <v>3420</v>
      </c>
      <c r="N17" s="23">
        <f t="shared" si="9"/>
        <v>-1.978088861838101E-2</v>
      </c>
      <c r="O17" s="1">
        <v>3221</v>
      </c>
      <c r="Q17" s="1">
        <v>3286</v>
      </c>
    </row>
    <row r="18" spans="1:17">
      <c r="A18" s="1" t="s">
        <v>7</v>
      </c>
      <c r="B18" s="23">
        <f t="shared" si="5"/>
        <v>0.23333333333333334</v>
      </c>
      <c r="C18" s="2">
        <v>37</v>
      </c>
      <c r="D18" s="23">
        <f t="shared" si="6"/>
        <v>-0.58333333333333337</v>
      </c>
      <c r="E18" s="2">
        <v>30</v>
      </c>
      <c r="F18" s="23">
        <f t="shared" si="7"/>
        <v>0.125</v>
      </c>
      <c r="G18" s="2">
        <v>72</v>
      </c>
      <c r="H18" s="4"/>
      <c r="I18" s="2">
        <v>64</v>
      </c>
      <c r="K18" s="1" t="s">
        <v>19</v>
      </c>
      <c r="L18" s="23">
        <f t="shared" si="8"/>
        <v>0.3018276762402089</v>
      </c>
      <c r="M18" s="1">
        <f>504+1136+853</f>
        <v>2493</v>
      </c>
      <c r="N18" s="23">
        <f t="shared" si="9"/>
        <v>0.15291992775436483</v>
      </c>
      <c r="O18" s="1">
        <v>1915</v>
      </c>
      <c r="Q18" s="1">
        <v>1661</v>
      </c>
    </row>
    <row r="19" spans="1:17">
      <c r="A19" s="7" t="s">
        <v>47</v>
      </c>
      <c r="B19" s="23">
        <f t="shared" si="5"/>
        <v>0.19016587677725119</v>
      </c>
      <c r="C19" s="1">
        <f>SUM(C16:C18)</f>
        <v>2009</v>
      </c>
      <c r="D19" s="23">
        <f t="shared" si="6"/>
        <v>1.581039755351682</v>
      </c>
      <c r="E19" s="1">
        <f>SUM(E16:E18)</f>
        <v>1688</v>
      </c>
      <c r="F19" s="23">
        <f t="shared" si="7"/>
        <v>-1.8363171355498722</v>
      </c>
      <c r="G19" s="1">
        <f>SUM(G16:G18)</f>
        <v>654</v>
      </c>
      <c r="H19" s="3"/>
      <c r="I19" s="1">
        <f>SUM(I16:I18)</f>
        <v>-782</v>
      </c>
      <c r="K19" s="1" t="s">
        <v>78</v>
      </c>
      <c r="L19" s="23" t="e">
        <f t="shared" si="8"/>
        <v>#DIV/0!</v>
      </c>
      <c r="N19" s="23" t="e">
        <f t="shared" si="9"/>
        <v>#DIV/0!</v>
      </c>
      <c r="O19" s="1">
        <v>0</v>
      </c>
      <c r="Q19" s="1">
        <v>0</v>
      </c>
    </row>
    <row r="20" spans="1:17">
      <c r="A20" s="1" t="s">
        <v>8</v>
      </c>
      <c r="B20" s="23">
        <f t="shared" si="5"/>
        <v>0.12361331220285261</v>
      </c>
      <c r="C20" s="2">
        <v>-709</v>
      </c>
      <c r="D20" s="23">
        <f t="shared" si="6"/>
        <v>0.66052631578947374</v>
      </c>
      <c r="E20" s="2">
        <v>-631</v>
      </c>
      <c r="F20" s="23">
        <f t="shared" si="7"/>
        <v>-0.59183673469387754</v>
      </c>
      <c r="G20" s="2">
        <v>-380</v>
      </c>
      <c r="H20" s="4"/>
      <c r="I20" s="2">
        <v>-931</v>
      </c>
      <c r="K20" s="1" t="s">
        <v>54</v>
      </c>
      <c r="L20" s="23">
        <f t="shared" si="8"/>
        <v>-0.34559596384275804</v>
      </c>
      <c r="M20" s="1">
        <v>3113</v>
      </c>
      <c r="N20" s="23">
        <f t="shared" si="9"/>
        <v>-0.2762817587098737</v>
      </c>
      <c r="O20" s="1">
        <v>4757</v>
      </c>
      <c r="Q20" s="1">
        <v>6573</v>
      </c>
    </row>
    <row r="21" spans="1:17">
      <c r="A21" s="7" t="s">
        <v>48</v>
      </c>
      <c r="B21" s="23">
        <f t="shared" si="5"/>
        <v>0.22989593188268684</v>
      </c>
      <c r="C21" s="9">
        <f>SUM(C19:C20)</f>
        <v>1300</v>
      </c>
      <c r="D21" s="23">
        <f t="shared" si="6"/>
        <v>2.8576642335766422</v>
      </c>
      <c r="E21" s="9">
        <f>SUM(E19:E20)</f>
        <v>1057</v>
      </c>
      <c r="F21" s="23">
        <f t="shared" si="7"/>
        <v>-1.1599532983070637</v>
      </c>
      <c r="G21" s="9">
        <f>SUM(G19:G20)</f>
        <v>274</v>
      </c>
      <c r="H21" s="3"/>
      <c r="I21" s="9">
        <f>SUM(I19:I20)</f>
        <v>-1713</v>
      </c>
      <c r="K21" s="1" t="s">
        <v>55</v>
      </c>
      <c r="L21" s="23">
        <f t="shared" si="8"/>
        <v>-0.83774834437086088</v>
      </c>
      <c r="M21" s="2">
        <v>49</v>
      </c>
      <c r="N21" s="23">
        <f t="shared" si="9"/>
        <v>-0.35053763440860214</v>
      </c>
      <c r="O21" s="2">
        <v>302</v>
      </c>
      <c r="Q21" s="2">
        <v>465</v>
      </c>
    </row>
    <row r="22" spans="1:17">
      <c r="A22" s="1" t="s">
        <v>49</v>
      </c>
      <c r="B22" s="23">
        <f t="shared" si="5"/>
        <v>-0.78104575163398693</v>
      </c>
      <c r="C22" s="1">
        <v>67</v>
      </c>
      <c r="D22" s="23">
        <f t="shared" si="6"/>
        <v>-0.71375116931711879</v>
      </c>
      <c r="E22" s="1">
        <v>306</v>
      </c>
      <c r="F22" s="23">
        <f t="shared" si="7"/>
        <v>-0.4948015122873346</v>
      </c>
      <c r="G22" s="1">
        <v>1069</v>
      </c>
      <c r="I22" s="1">
        <v>2116</v>
      </c>
      <c r="L22" s="23">
        <f t="shared" si="8"/>
        <v>-3.2954921194753663E-2</v>
      </c>
      <c r="M22" s="1">
        <f>SUM(M15:M21)</f>
        <v>17548</v>
      </c>
      <c r="N22" s="23">
        <f t="shared" si="9"/>
        <v>-8.2933238995299946E-2</v>
      </c>
      <c r="O22" s="1">
        <f>SUM(O15:O21)</f>
        <v>18146</v>
      </c>
      <c r="Q22" s="1">
        <f>SUM(Q15:Q21)</f>
        <v>19787</v>
      </c>
    </row>
    <row r="23" spans="1:17" ht="16" thickBot="1">
      <c r="A23" s="7" t="s">
        <v>9</v>
      </c>
      <c r="B23" s="23">
        <f t="shared" si="5"/>
        <v>2.93470286133529E-3</v>
      </c>
      <c r="C23" s="5">
        <f>SUM(C21:C22)</f>
        <v>1367</v>
      </c>
      <c r="D23" s="23">
        <f t="shared" si="6"/>
        <v>1.4892032762472078E-2</v>
      </c>
      <c r="E23" s="5">
        <f>SUM(E21:E22)</f>
        <v>1363</v>
      </c>
      <c r="F23" s="23">
        <f t="shared" si="7"/>
        <v>2.3325062034739452</v>
      </c>
      <c r="G23" s="5">
        <f>SUM(G21:G22)</f>
        <v>1343</v>
      </c>
      <c r="I23" s="5">
        <f>SUM(I21:I22)</f>
        <v>403</v>
      </c>
      <c r="L23" s="4"/>
    </row>
    <row r="24" spans="1:17" ht="17" thickTop="1" thickBot="1">
      <c r="B24" s="19"/>
      <c r="C24" s="12"/>
      <c r="E24" s="12"/>
      <c r="G24" s="12"/>
      <c r="I24" s="12"/>
      <c r="K24" s="10" t="s">
        <v>20</v>
      </c>
      <c r="L24" s="23">
        <f>(M24-O24)/O24</f>
        <v>5.1026029472524444E-2</v>
      </c>
      <c r="M24" s="5">
        <f>M22+M13</f>
        <v>45789</v>
      </c>
      <c r="N24" s="23">
        <f>(O24-Q24)/Q24</f>
        <v>-5.3036560448637131E-2</v>
      </c>
      <c r="O24" s="5">
        <f>O22+O13</f>
        <v>43566</v>
      </c>
      <c r="Q24" s="5">
        <f>Q22+Q13</f>
        <v>46006</v>
      </c>
    </row>
    <row r="25" spans="1:17" ht="16" thickTop="1">
      <c r="A25" s="8" t="s">
        <v>30</v>
      </c>
      <c r="B25" s="20"/>
      <c r="C25" s="12"/>
      <c r="D25" s="20"/>
      <c r="E25" s="12"/>
      <c r="G25" s="12"/>
      <c r="I25" s="12"/>
      <c r="L25" s="4"/>
    </row>
    <row r="26" spans="1:17">
      <c r="A26" s="1" t="s">
        <v>31</v>
      </c>
      <c r="B26" s="19"/>
      <c r="C26" s="12">
        <f>C10/C6</f>
        <v>0.23007679123311336</v>
      </c>
      <c r="E26" s="12">
        <f>E10/E8</f>
        <v>0.21970941909904271</v>
      </c>
      <c r="G26" s="12">
        <f>G10/G8</f>
        <v>0.21558256821414717</v>
      </c>
      <c r="I26" s="12"/>
      <c r="K26" s="8" t="s">
        <v>21</v>
      </c>
      <c r="L26" s="22"/>
      <c r="N26" s="22"/>
    </row>
    <row r="27" spans="1:17">
      <c r="A27" s="1" t="s">
        <v>32</v>
      </c>
      <c r="B27" s="19"/>
      <c r="C27" s="12">
        <f>C16/C6</f>
        <v>3.4211911413417548E-2</v>
      </c>
      <c r="E27" s="12">
        <f>E16/E8</f>
        <v>3.1040509168688214E-2</v>
      </c>
      <c r="G27" s="12">
        <f>G16/G8</f>
        <v>1.894478210267684E-2</v>
      </c>
      <c r="I27" s="12"/>
      <c r="K27" s="1" t="s">
        <v>79</v>
      </c>
      <c r="L27" s="23">
        <f t="shared" ref="L27:L34" si="10">(M27-O27)/O27</f>
        <v>4.3969102792632206E-2</v>
      </c>
      <c r="M27" s="1">
        <v>1757</v>
      </c>
      <c r="N27" s="23">
        <f t="shared" ref="N27:N34" si="11">(O27-Q27)/Q27</f>
        <v>-0.25629695095006627</v>
      </c>
      <c r="O27" s="1">
        <v>1683</v>
      </c>
      <c r="Q27" s="1">
        <v>2263</v>
      </c>
    </row>
    <row r="28" spans="1:17">
      <c r="A28" s="1" t="s">
        <v>57</v>
      </c>
      <c r="B28" s="19"/>
      <c r="C28" s="12">
        <f>C23/C6</f>
        <v>1.8448790099464214E-2</v>
      </c>
      <c r="E28" s="12">
        <f>E23/E8</f>
        <v>1.7776560502908417E-2</v>
      </c>
      <c r="G28" s="12">
        <f>G23/G8</f>
        <v>1.7367127893443683E-2</v>
      </c>
      <c r="I28" s="12"/>
      <c r="K28" s="1" t="s">
        <v>22</v>
      </c>
      <c r="L28" s="23">
        <f t="shared" si="10"/>
        <v>4.1232301229189354E-2</v>
      </c>
      <c r="M28" s="1">
        <v>13384</v>
      </c>
      <c r="N28" s="23">
        <f t="shared" si="11"/>
        <v>-5.4932301740812381E-3</v>
      </c>
      <c r="O28" s="1">
        <v>12854</v>
      </c>
      <c r="Q28" s="1">
        <v>12925</v>
      </c>
    </row>
    <row r="29" spans="1:17">
      <c r="A29" s="1" t="s">
        <v>84</v>
      </c>
      <c r="B29" s="19"/>
      <c r="C29" s="12">
        <f>C23/M42</f>
        <v>0.13365271802894016</v>
      </c>
      <c r="E29" s="12">
        <f>E23/O42</f>
        <v>0.15852523842754129</v>
      </c>
      <c r="G29" s="12">
        <f>G23/Q42</f>
        <v>0.16689449484279856</v>
      </c>
      <c r="I29" s="12"/>
      <c r="K29" s="1" t="s">
        <v>80</v>
      </c>
      <c r="L29" s="23">
        <f t="shared" si="10"/>
        <v>0.18219395866454691</v>
      </c>
      <c r="M29" s="1">
        <v>3718</v>
      </c>
      <c r="N29" s="23">
        <f t="shared" si="11"/>
        <v>3.7269129287598943E-2</v>
      </c>
      <c r="O29" s="1">
        <v>3145</v>
      </c>
      <c r="Q29" s="1">
        <v>3032</v>
      </c>
    </row>
    <row r="30" spans="1:17">
      <c r="A30" s="1" t="s">
        <v>58</v>
      </c>
      <c r="B30" s="19"/>
      <c r="C30" s="12">
        <f>C16/(M42+M36)</f>
        <v>0.14874141876430205</v>
      </c>
      <c r="E30" s="12">
        <f>E16/(O42+O36)</f>
        <v>0.14738667327223184</v>
      </c>
      <c r="G30" s="12">
        <f>G16/(Q42+Q36)</f>
        <v>8.6024662360540224E-2</v>
      </c>
      <c r="I30" s="12"/>
      <c r="K30" s="1" t="s">
        <v>81</v>
      </c>
      <c r="L30" s="23">
        <f t="shared" si="10"/>
        <v>0.12153110047846891</v>
      </c>
      <c r="M30" s="1">
        <v>1172</v>
      </c>
      <c r="N30" s="23">
        <f t="shared" si="11"/>
        <v>4.807692307692308E-3</v>
      </c>
      <c r="O30" s="1">
        <v>1045</v>
      </c>
      <c r="Q30" s="1">
        <v>1040</v>
      </c>
    </row>
    <row r="31" spans="1:17">
      <c r="B31" s="19"/>
      <c r="K31" s="1" t="s">
        <v>23</v>
      </c>
      <c r="L31" s="23" t="e">
        <f t="shared" si="10"/>
        <v>#DIV/0!</v>
      </c>
      <c r="N31" s="23" t="e">
        <f t="shared" si="11"/>
        <v>#DIV/0!</v>
      </c>
      <c r="O31" s="1">
        <v>0</v>
      </c>
      <c r="Q31" s="1">
        <v>0</v>
      </c>
    </row>
    <row r="32" spans="1:17">
      <c r="A32" s="8" t="s">
        <v>35</v>
      </c>
      <c r="B32" s="20"/>
      <c r="D32" s="20"/>
      <c r="K32" s="1" t="s">
        <v>24</v>
      </c>
      <c r="L32" s="23">
        <f t="shared" si="10"/>
        <v>9.3738689829895042E-2</v>
      </c>
      <c r="M32" s="1">
        <v>3022</v>
      </c>
      <c r="N32" s="23">
        <f t="shared" si="11"/>
        <v>0.1407927332782824</v>
      </c>
      <c r="O32" s="1">
        <v>2763</v>
      </c>
      <c r="Q32" s="1">
        <v>2422</v>
      </c>
    </row>
    <row r="33" spans="1:20">
      <c r="A33" s="1" t="s">
        <v>36</v>
      </c>
      <c r="B33" s="19"/>
      <c r="C33" s="13">
        <f>M22/M34</f>
        <v>0.76116942829877676</v>
      </c>
      <c r="E33" s="13">
        <f>O22/O34</f>
        <v>0.84345077623872822</v>
      </c>
      <c r="G33" s="13">
        <f>Q22/Q34</f>
        <v>0.90125256205875659</v>
      </c>
      <c r="I33" s="13"/>
      <c r="K33" s="1" t="s">
        <v>56</v>
      </c>
      <c r="L33" s="23">
        <f t="shared" si="10"/>
        <v>-0.95833333333333337</v>
      </c>
      <c r="M33" s="2">
        <v>1</v>
      </c>
      <c r="N33" s="23">
        <f t="shared" si="11"/>
        <v>-0.91208791208791207</v>
      </c>
      <c r="O33" s="2">
        <v>24</v>
      </c>
      <c r="Q33" s="2">
        <v>273</v>
      </c>
    </row>
    <row r="34" spans="1:20">
      <c r="A34" s="1" t="s">
        <v>37</v>
      </c>
      <c r="B34" s="19"/>
      <c r="C34" s="13">
        <f>(M22-M15)/M34</f>
        <v>0.49167172724906738</v>
      </c>
      <c r="E34" s="13">
        <f>(O22-O15)/O34</f>
        <v>0.57674072696848566</v>
      </c>
      <c r="G34" s="13">
        <f>(Q22-Q15)/Q34</f>
        <v>0.64354361193350029</v>
      </c>
      <c r="I34" s="13"/>
      <c r="L34" s="23">
        <f t="shared" si="10"/>
        <v>7.1581295900343955E-2</v>
      </c>
      <c r="M34" s="1">
        <f>SUM(M27:M33)</f>
        <v>23054</v>
      </c>
      <c r="N34" s="23">
        <f t="shared" si="11"/>
        <v>-2.0086540651332269E-2</v>
      </c>
      <c r="O34" s="1">
        <f>SUM(O27:O33)</f>
        <v>21514</v>
      </c>
      <c r="Q34" s="1">
        <f>SUM(Q27:Q33)</f>
        <v>21955</v>
      </c>
    </row>
    <row r="35" spans="1:20">
      <c r="B35" s="19"/>
      <c r="K35" s="8" t="s">
        <v>25</v>
      </c>
      <c r="L35" s="22"/>
      <c r="N35" s="22"/>
    </row>
    <row r="36" spans="1:20">
      <c r="A36" s="8" t="s">
        <v>62</v>
      </c>
      <c r="B36" s="20"/>
      <c r="C36" s="13"/>
      <c r="D36" s="20"/>
      <c r="E36" s="13"/>
      <c r="G36" s="13"/>
      <c r="I36" s="13"/>
      <c r="K36" s="1" t="s">
        <v>82</v>
      </c>
      <c r="L36" s="23">
        <f t="shared" ref="L36:L40" si="12">(M36-O36)/O36</f>
        <v>-9.7350993377483444E-2</v>
      </c>
      <c r="M36" s="1">
        <v>6815</v>
      </c>
      <c r="N36" s="23">
        <f t="shared" ref="N36:N40" si="13">(O36-Q36)/Q36</f>
        <v>-0.15952354447289324</v>
      </c>
      <c r="O36" s="1">
        <v>7550</v>
      </c>
      <c r="Q36" s="1">
        <v>8983</v>
      </c>
    </row>
    <row r="37" spans="1:20">
      <c r="A37" s="1" t="s">
        <v>33</v>
      </c>
      <c r="B37" s="19"/>
      <c r="C37" s="13">
        <f>C6/M13</f>
        <v>2.6237385361708156</v>
      </c>
      <c r="E37" s="13">
        <f>E8/O13</f>
        <v>3.0162863886703382</v>
      </c>
      <c r="G37" s="13">
        <f>G8/Q13</f>
        <v>2.9493878485068081</v>
      </c>
      <c r="I37" s="13"/>
      <c r="K37" s="1" t="s">
        <v>23</v>
      </c>
      <c r="L37" s="23">
        <f t="shared" si="12"/>
        <v>-1.0226644555002764E-2</v>
      </c>
      <c r="M37" s="1">
        <v>3581</v>
      </c>
      <c r="N37" s="23">
        <f t="shared" si="13"/>
        <v>-0.19150837988826816</v>
      </c>
      <c r="O37" s="1">
        <v>3618</v>
      </c>
      <c r="Q37" s="1">
        <v>4475</v>
      </c>
    </row>
    <row r="38" spans="1:20">
      <c r="A38" s="1" t="s">
        <v>59</v>
      </c>
      <c r="B38" s="19"/>
      <c r="C38" s="1">
        <f>(M15/C9)*365*-1</f>
        <v>38.261262021258645</v>
      </c>
      <c r="E38" s="1">
        <f>(O15/E9)*365*-1</f>
        <v>35.006518686902453</v>
      </c>
      <c r="G38" s="1">
        <f>(Q15/G9)*365*-1</f>
        <v>34.045566197926114</v>
      </c>
      <c r="K38" s="1" t="s">
        <v>80</v>
      </c>
      <c r="L38" s="23">
        <f t="shared" si="12"/>
        <v>-9.9716713881019825E-2</v>
      </c>
      <c r="M38" s="1">
        <v>1589</v>
      </c>
      <c r="N38" s="23">
        <f t="shared" si="13"/>
        <v>-0.10223804679552391</v>
      </c>
      <c r="O38" s="1">
        <v>1765</v>
      </c>
      <c r="Q38" s="1">
        <v>1966</v>
      </c>
    </row>
    <row r="39" spans="1:20">
      <c r="A39" s="1" t="s">
        <v>34</v>
      </c>
      <c r="B39" s="19"/>
      <c r="C39" s="18">
        <f>C9/M15*-1</f>
        <v>9.5396748752615483</v>
      </c>
      <c r="E39" s="18">
        <f>E9/O15*-1</f>
        <v>10.42662948762635</v>
      </c>
      <c r="G39" s="18">
        <f>G9/Q15*-1</f>
        <v>10.720926122304702</v>
      </c>
      <c r="I39" s="18"/>
      <c r="K39" s="1" t="s">
        <v>26</v>
      </c>
      <c r="L39" s="23" t="e">
        <f t="shared" si="12"/>
        <v>#DIV/0!</v>
      </c>
      <c r="N39" s="23" t="e">
        <f t="shared" si="13"/>
        <v>#DIV/0!</v>
      </c>
      <c r="O39" s="1">
        <v>0</v>
      </c>
      <c r="Q39" s="1">
        <v>0</v>
      </c>
    </row>
    <row r="40" spans="1:20">
      <c r="A40" s="1" t="s">
        <v>60</v>
      </c>
      <c r="B40" s="19"/>
      <c r="C40" s="18">
        <f>M16/C6*365</f>
        <v>11.13270442797954</v>
      </c>
      <c r="E40" s="18">
        <f>O16/E6*365</f>
        <v>10.871546050417905</v>
      </c>
      <c r="G40" s="18">
        <f>Q16/G6*365</f>
        <v>10.431212593807068</v>
      </c>
      <c r="I40" s="18"/>
      <c r="K40" s="1" t="s">
        <v>16</v>
      </c>
      <c r="L40" s="23">
        <f t="shared" si="12"/>
        <v>3.838771593090211E-3</v>
      </c>
      <c r="M40" s="2">
        <v>523</v>
      </c>
      <c r="N40" s="23">
        <f t="shared" si="13"/>
        <v>-0.10172413793103448</v>
      </c>
      <c r="O40" s="2">
        <v>521</v>
      </c>
      <c r="Q40" s="2">
        <v>580</v>
      </c>
    </row>
    <row r="41" spans="1:20">
      <c r="A41" s="1" t="s">
        <v>61</v>
      </c>
      <c r="B41" s="19"/>
      <c r="C41" s="18">
        <f>M28/C9*365*-1</f>
        <v>82.422135987852201</v>
      </c>
      <c r="E41" s="18">
        <f>O28/E9*365*-1</f>
        <v>78.419970582336035</v>
      </c>
      <c r="G41" s="18">
        <f>Q28/G9*365*-1</f>
        <v>77.772877891162068</v>
      </c>
      <c r="I41" s="18"/>
      <c r="L41" s="4"/>
      <c r="M41" s="1">
        <f>SUM(M36:M40)</f>
        <v>12508</v>
      </c>
      <c r="O41" s="1">
        <f>SUM(O36:O40)</f>
        <v>13454</v>
      </c>
      <c r="Q41" s="1">
        <f>SUM(Q36:Q40)</f>
        <v>16004</v>
      </c>
    </row>
    <row r="42" spans="1:20">
      <c r="B42" s="19"/>
      <c r="K42" s="1" t="s">
        <v>27</v>
      </c>
      <c r="L42" s="23">
        <f t="shared" ref="L42:L43" si="14">(M42-O42)/O42</f>
        <v>0.1895789718539195</v>
      </c>
      <c r="M42" s="1">
        <v>10228</v>
      </c>
      <c r="N42" s="23">
        <f t="shared" ref="N42:N43" si="15">(O42-Q42)/Q42</f>
        <v>6.8472722753821297E-2</v>
      </c>
      <c r="O42" s="1">
        <v>8598</v>
      </c>
      <c r="Q42" s="1">
        <v>8047</v>
      </c>
    </row>
    <row r="43" spans="1:20" ht="16" thickBot="1">
      <c r="A43" s="8" t="s">
        <v>63</v>
      </c>
      <c r="B43" s="20"/>
      <c r="D43" s="20"/>
      <c r="K43" s="1" t="s">
        <v>28</v>
      </c>
      <c r="L43" s="23">
        <f t="shared" si="14"/>
        <v>5.1048983151999267E-2</v>
      </c>
      <c r="M43" s="5">
        <f>M34+M41+M42</f>
        <v>45790</v>
      </c>
      <c r="N43" s="23">
        <f t="shared" si="15"/>
        <v>-5.3036560448637131E-2</v>
      </c>
      <c r="O43" s="5">
        <f>O34+O41+O42</f>
        <v>43566</v>
      </c>
      <c r="Q43" s="5">
        <f>Q34+Q41+Q42</f>
        <v>46006</v>
      </c>
    </row>
    <row r="44" spans="1:20" ht="16" thickTop="1">
      <c r="A44" s="1" t="s">
        <v>64</v>
      </c>
      <c r="B44" s="19"/>
      <c r="C44" s="15">
        <f>C23/M46*1000000</f>
        <v>1.9324351106348998</v>
      </c>
      <c r="E44" s="15">
        <v>1.82</v>
      </c>
      <c r="G44" s="15">
        <v>1.84</v>
      </c>
      <c r="I44" s="15"/>
      <c r="L44" s="4"/>
    </row>
    <row r="45" spans="1:20">
      <c r="A45" s="1" t="s">
        <v>65</v>
      </c>
      <c r="B45" s="19"/>
      <c r="C45" s="13">
        <f>M47/C44</f>
        <v>13.092289547403073</v>
      </c>
      <c r="E45" s="13">
        <f>O47/E44</f>
        <v>15.829670329670328</v>
      </c>
      <c r="G45" s="13">
        <f>Q47/G44</f>
        <v>10.516304347826088</v>
      </c>
      <c r="I45" s="13"/>
      <c r="L45" s="4"/>
    </row>
    <row r="46" spans="1:20">
      <c r="A46" s="1" t="s">
        <v>66</v>
      </c>
      <c r="B46" s="19"/>
      <c r="C46" s="13">
        <f>C44/M49</f>
        <v>2.8418163391689699</v>
      </c>
      <c r="E46" s="13">
        <f>E44/O49</f>
        <v>2.935483870967742</v>
      </c>
      <c r="G46" s="13">
        <f>G44/Q49</f>
        <v>3.1724137931034488</v>
      </c>
      <c r="K46" s="1" t="s">
        <v>42</v>
      </c>
      <c r="L46" s="23">
        <f t="shared" ref="L46:L49" si="16">(M46-O46)/O46</f>
        <v>-2.2910128678610708E-2</v>
      </c>
      <c r="M46" s="2">
        <v>707397621</v>
      </c>
      <c r="N46" s="23">
        <f t="shared" ref="N46:N49" si="17">(O46-Q46)/Q46</f>
        <v>2.0825202831786387E-2</v>
      </c>
      <c r="O46" s="2">
        <v>723984192</v>
      </c>
      <c r="Q46" s="2">
        <v>709214653</v>
      </c>
      <c r="T46" s="15"/>
    </row>
    <row r="47" spans="1:20">
      <c r="A47" s="1" t="s">
        <v>67</v>
      </c>
      <c r="B47" s="19"/>
      <c r="C47" s="25">
        <f>M49/M47</f>
        <v>2.6877470355731226E-2</v>
      </c>
      <c r="E47" s="25">
        <f>O49/O47</f>
        <v>2.1520305449496704E-2</v>
      </c>
      <c r="G47" s="25">
        <f>Q49/Q47</f>
        <v>2.9974160206718344E-2</v>
      </c>
      <c r="I47" s="12"/>
      <c r="K47" s="1" t="s">
        <v>71</v>
      </c>
      <c r="L47" s="23">
        <f t="shared" si="16"/>
        <v>-0.12183269698021514</v>
      </c>
      <c r="M47" s="16">
        <v>25.3</v>
      </c>
      <c r="N47" s="23">
        <f t="shared" si="17"/>
        <v>0.48888888888888871</v>
      </c>
      <c r="O47" s="16">
        <v>28.81</v>
      </c>
      <c r="Q47" s="17">
        <v>19.350000000000001</v>
      </c>
    </row>
    <row r="48" spans="1:20">
      <c r="A48" s="1" t="s">
        <v>68</v>
      </c>
      <c r="B48" s="19"/>
      <c r="C48" s="13">
        <f>M36/M42</f>
        <v>0.66630817364098549</v>
      </c>
      <c r="E48" s="13">
        <f>O36/(O42+O36)</f>
        <v>0.4675501610106515</v>
      </c>
      <c r="G48" s="13">
        <f>Q36/(Q42+Q36)</f>
        <v>0.52748091603053437</v>
      </c>
      <c r="I48" s="13"/>
      <c r="K48" s="1" t="s">
        <v>72</v>
      </c>
      <c r="L48" s="23">
        <f t="shared" si="16"/>
        <v>-0.14195162289374705</v>
      </c>
      <c r="M48" s="2">
        <f>M46*M47</f>
        <v>17897159811.299999</v>
      </c>
      <c r="N48" s="23">
        <f t="shared" si="17"/>
        <v>0.51989530199399292</v>
      </c>
      <c r="O48" s="2">
        <f>O46*O47</f>
        <v>20857984571.52</v>
      </c>
      <c r="Q48" s="2">
        <f>Q46*Q47</f>
        <v>13723303535.550001</v>
      </c>
    </row>
    <row r="49" spans="1:17">
      <c r="A49" s="1" t="s">
        <v>69</v>
      </c>
      <c r="B49" s="19"/>
      <c r="C49" s="13">
        <f>(C16+C18)/C17*-1</f>
        <v>4.5683836589698048</v>
      </c>
      <c r="E49" s="13">
        <f>E16/E17*-1</f>
        <v>3.2963988919667591</v>
      </c>
      <c r="G49" s="13">
        <f>G16/G17*-1</f>
        <v>1.6591166477916195</v>
      </c>
      <c r="I49" s="13"/>
      <c r="K49" s="1" t="s">
        <v>83</v>
      </c>
      <c r="L49" s="23">
        <f t="shared" si="16"/>
        <v>9.6774193548387177E-2</v>
      </c>
      <c r="M49" s="16">
        <v>0.68</v>
      </c>
      <c r="N49" s="23">
        <f t="shared" si="17"/>
        <v>6.8965517241379379E-2</v>
      </c>
      <c r="O49" s="16">
        <v>0.62</v>
      </c>
      <c r="Q49" s="16">
        <v>0.57999999999999996</v>
      </c>
    </row>
    <row r="50" spans="1:17">
      <c r="B50" s="19"/>
    </row>
    <row r="51" spans="1:17">
      <c r="A51" s="8" t="s">
        <v>38</v>
      </c>
      <c r="B51" s="20"/>
      <c r="D51" s="20"/>
    </row>
    <row r="52" spans="1:17">
      <c r="A52" s="1" t="s">
        <v>39</v>
      </c>
      <c r="B52" s="19"/>
      <c r="C52" s="12">
        <f>C20/C19</f>
        <v>-0.35291189646590343</v>
      </c>
      <c r="E52" s="12">
        <f>E20/E19</f>
        <v>-0.37381516587677727</v>
      </c>
      <c r="G52" s="12">
        <f>G20/G19</f>
        <v>-0.58103975535168195</v>
      </c>
    </row>
    <row r="53" spans="1:17">
      <c r="A53" s="1" t="s">
        <v>70</v>
      </c>
      <c r="B53" s="19"/>
      <c r="C53" s="12">
        <f>C12/C8</f>
        <v>0</v>
      </c>
      <c r="E53" s="12">
        <f>E12/E8</f>
        <v>0</v>
      </c>
      <c r="G53" s="12">
        <f>G12/G8</f>
        <v>0</v>
      </c>
    </row>
    <row r="54" spans="1:17">
      <c r="A54" s="1" t="s">
        <v>40</v>
      </c>
      <c r="B54" s="19"/>
      <c r="C54" s="12">
        <f>(M6+M7)/M24</f>
        <v>0.208412500818974</v>
      </c>
      <c r="E54" s="12">
        <f>(O6+O7)/O24</f>
        <v>0.2075930771702704</v>
      </c>
      <c r="G54" s="12">
        <f>(Q6+Q7)/Q24</f>
        <v>0.20451680215624049</v>
      </c>
    </row>
    <row r="55" spans="1:17">
      <c r="A55" s="1" t="s">
        <v>41</v>
      </c>
      <c r="B55" s="19"/>
      <c r="C55" s="12">
        <f>(M6+M7)/M42</f>
        <v>0.93302698474775125</v>
      </c>
      <c r="E55" s="12">
        <f>(O6+O7)/O42</f>
        <v>1.0518725284949988</v>
      </c>
      <c r="G55" s="12">
        <f>(Q6+Q7)/Q42</f>
        <v>1.16925562321362</v>
      </c>
    </row>
    <row r="56" spans="1:17">
      <c r="A56" s="27" t="s">
        <v>89</v>
      </c>
      <c r="C56" s="12">
        <f>(M48/M42)/1000000</f>
        <v>1.7498200832323034</v>
      </c>
    </row>
  </sheetData>
  <phoneticPr fontId="7" type="noConversion"/>
  <pageMargins left="0.75000000000000011" right="0.75000000000000011" top="1" bottom="1" header="0.5" footer="0.5"/>
  <pageSetup paperSize="9" scale="73" orientation="portrait" horizontalDpi="4294967292" verticalDpi="4294967292"/>
  <headerFooter>
    <oddHeader>&amp;L&amp;"Calibri,Regular"&amp;K000000SM 1  Ratio Analysis</oddHeader>
    <oddFooter>&amp;L&amp;"Calibri,Regular"&amp;K000000A86045 Accounting and Financiakl Reporting&amp;R&amp;"Calibri,Regular"&amp;K000000Paul G. Smith</oddFooter>
  </headerFooter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Completed Template</vt:lpstr>
      <vt:lpstr>Data Template</vt:lpstr>
      <vt:lpstr>One Year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Paul Smith</cp:lastModifiedBy>
  <cp:lastPrinted>2018-01-30T08:28:23Z</cp:lastPrinted>
  <dcterms:created xsi:type="dcterms:W3CDTF">2014-01-25T14:54:23Z</dcterms:created>
  <dcterms:modified xsi:type="dcterms:W3CDTF">2018-01-30T11:38:50Z</dcterms:modified>
</cp:coreProperties>
</file>