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showInkAnnotation="0" autoCompressPictures="0"/>
  <bookViews>
    <workbookView xWindow="3940" yWindow="0" windowWidth="34980" windowHeight="23480" tabRatio="500" activeTab="1"/>
  </bookViews>
  <sheets>
    <sheet name="Completed Sheet" sheetId="1" r:id="rId1"/>
    <sheet name="Data Sheet (2)" sheetId="4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57" i="1" l="1"/>
  <c r="L57" i="1"/>
  <c r="J57" i="1"/>
  <c r="G57" i="1"/>
  <c r="E57" i="1"/>
  <c r="C57" i="1"/>
  <c r="X49" i="4"/>
  <c r="Z49" i="1"/>
  <c r="X49" i="1"/>
  <c r="N56" i="1"/>
  <c r="L56" i="1"/>
  <c r="J56" i="1"/>
  <c r="G56" i="1"/>
  <c r="E56" i="1"/>
  <c r="C56" i="1"/>
  <c r="N55" i="1"/>
  <c r="L55" i="1"/>
  <c r="J55" i="1"/>
  <c r="G55" i="1"/>
  <c r="E55" i="1"/>
  <c r="C55" i="1"/>
  <c r="N53" i="1"/>
  <c r="L53" i="1"/>
  <c r="J53" i="1"/>
  <c r="G53" i="1"/>
  <c r="E53" i="1"/>
  <c r="C53" i="1"/>
  <c r="N7" i="4"/>
  <c r="N9" i="4"/>
  <c r="N11" i="4"/>
  <c r="N12" i="4"/>
  <c r="N14" i="4"/>
  <c r="L7" i="4"/>
  <c r="L9" i="4"/>
  <c r="L11" i="4"/>
  <c r="L12" i="4"/>
  <c r="L14" i="4"/>
  <c r="J7" i="4"/>
  <c r="J9" i="4"/>
  <c r="J14" i="4"/>
  <c r="G7" i="4"/>
  <c r="G9" i="4"/>
  <c r="G11" i="4"/>
  <c r="G14" i="4"/>
  <c r="E7" i="4"/>
  <c r="E9" i="4"/>
  <c r="E11" i="4"/>
  <c r="E14" i="4"/>
  <c r="C7" i="4"/>
  <c r="C9" i="4"/>
  <c r="C14" i="4"/>
  <c r="W49" i="4"/>
  <c r="V49" i="4"/>
  <c r="T49" i="4"/>
  <c r="R49" i="4"/>
  <c r="Q49" i="4"/>
  <c r="AB33" i="4"/>
  <c r="AB39" i="4"/>
  <c r="AB40" i="4"/>
  <c r="AB42" i="4"/>
  <c r="Z33" i="4"/>
  <c r="Z39" i="4"/>
  <c r="Z40" i="4"/>
  <c r="Z42" i="4"/>
  <c r="X40" i="4"/>
  <c r="X42" i="4"/>
  <c r="V40" i="4"/>
  <c r="V42" i="4"/>
  <c r="T40" i="4"/>
  <c r="T42" i="4"/>
  <c r="R40" i="4"/>
  <c r="R42" i="4"/>
  <c r="W48" i="4"/>
  <c r="Q48" i="4"/>
  <c r="W47" i="4"/>
  <c r="Q47" i="4"/>
  <c r="W46" i="4"/>
  <c r="Q46" i="4"/>
  <c r="W45" i="4"/>
  <c r="Q45" i="4"/>
  <c r="AB30" i="4"/>
  <c r="AB32" i="4"/>
  <c r="AB34" i="4"/>
  <c r="AB37" i="4"/>
  <c r="AB43" i="4"/>
  <c r="Z30" i="4"/>
  <c r="Z32" i="4"/>
  <c r="Z34" i="4"/>
  <c r="Z37" i="4"/>
  <c r="Z43" i="4"/>
  <c r="X32" i="4"/>
  <c r="X37" i="4"/>
  <c r="X43" i="4"/>
  <c r="W43" i="4"/>
  <c r="V32" i="4"/>
  <c r="V37" i="4"/>
  <c r="V43" i="4"/>
  <c r="T32" i="4"/>
  <c r="T37" i="4"/>
  <c r="T43" i="4"/>
  <c r="R32" i="4"/>
  <c r="R37" i="4"/>
  <c r="R43" i="4"/>
  <c r="Q43" i="4"/>
  <c r="W42" i="4"/>
  <c r="Q42" i="4"/>
  <c r="W41" i="4"/>
  <c r="Q41" i="4"/>
  <c r="W40" i="4"/>
  <c r="Q40" i="4"/>
  <c r="W39" i="4"/>
  <c r="Q39" i="4"/>
  <c r="W38" i="4"/>
  <c r="Q38" i="4"/>
  <c r="AB15" i="4"/>
  <c r="Z15" i="4"/>
  <c r="X15" i="4"/>
  <c r="V15" i="4"/>
  <c r="T15" i="4"/>
  <c r="R15" i="4"/>
  <c r="W37" i="4"/>
  <c r="Q37" i="4"/>
  <c r="W36" i="4"/>
  <c r="Q36" i="4"/>
  <c r="AB19" i="4"/>
  <c r="AB23" i="4"/>
  <c r="Z19" i="4"/>
  <c r="Z23" i="4"/>
  <c r="X23" i="4"/>
  <c r="V19" i="4"/>
  <c r="V23" i="4"/>
  <c r="T19" i="4"/>
  <c r="T23" i="4"/>
  <c r="R23" i="4"/>
  <c r="W34" i="4"/>
  <c r="Q34" i="4"/>
  <c r="W33" i="4"/>
  <c r="Q33" i="4"/>
  <c r="W32" i="4"/>
  <c r="Q32" i="4"/>
  <c r="W31" i="4"/>
  <c r="Q31" i="4"/>
  <c r="N17" i="4"/>
  <c r="N19" i="4"/>
  <c r="N21" i="4"/>
  <c r="L17" i="4"/>
  <c r="L19" i="4"/>
  <c r="L21" i="4"/>
  <c r="J17" i="4"/>
  <c r="J19" i="4"/>
  <c r="J21" i="4"/>
  <c r="G17" i="4"/>
  <c r="G19" i="4"/>
  <c r="G21" i="4"/>
  <c r="E17" i="4"/>
  <c r="E19" i="4"/>
  <c r="E21" i="4"/>
  <c r="C17" i="4"/>
  <c r="C19" i="4"/>
  <c r="C21" i="4"/>
  <c r="W30" i="4"/>
  <c r="Q30" i="4"/>
  <c r="W29" i="4"/>
  <c r="Q29" i="4"/>
  <c r="W28" i="4"/>
  <c r="Q28" i="4"/>
  <c r="W27" i="4"/>
  <c r="Q27" i="4"/>
  <c r="W26" i="4"/>
  <c r="Q26" i="4"/>
  <c r="AB24" i="4"/>
  <c r="Z24" i="4"/>
  <c r="X24" i="4"/>
  <c r="W24" i="4"/>
  <c r="V24" i="4"/>
  <c r="T24" i="4"/>
  <c r="R24" i="4"/>
  <c r="Q24" i="4"/>
  <c r="N24" i="4"/>
  <c r="L24" i="4"/>
  <c r="J24" i="4"/>
  <c r="G24" i="4"/>
  <c r="E24" i="4"/>
  <c r="C24" i="4"/>
  <c r="W23" i="4"/>
  <c r="Q23" i="4"/>
  <c r="W22" i="4"/>
  <c r="Q22" i="4"/>
  <c r="W21" i="4"/>
  <c r="Q21" i="4"/>
  <c r="K21" i="4"/>
  <c r="I21" i="4"/>
  <c r="D21" i="4"/>
  <c r="B21" i="4"/>
  <c r="W20" i="4"/>
  <c r="K20" i="4"/>
  <c r="I20" i="4"/>
  <c r="D20" i="4"/>
  <c r="B20" i="4"/>
  <c r="W19" i="4"/>
  <c r="Q19" i="4"/>
  <c r="K19" i="4"/>
  <c r="I19" i="4"/>
  <c r="D19" i="4"/>
  <c r="B19" i="4"/>
  <c r="W18" i="4"/>
  <c r="Q18" i="4"/>
  <c r="K18" i="4"/>
  <c r="I18" i="4"/>
  <c r="D18" i="4"/>
  <c r="B18" i="4"/>
  <c r="W17" i="4"/>
  <c r="Q17" i="4"/>
  <c r="K17" i="4"/>
  <c r="I17" i="4"/>
  <c r="D17" i="4"/>
  <c r="B17" i="4"/>
  <c r="W16" i="4"/>
  <c r="Q16" i="4"/>
  <c r="K16" i="4"/>
  <c r="I16" i="4"/>
  <c r="D16" i="4"/>
  <c r="B16" i="4"/>
  <c r="W15" i="4"/>
  <c r="Q15" i="4"/>
  <c r="K15" i="4"/>
  <c r="I15" i="4"/>
  <c r="D15" i="4"/>
  <c r="B15" i="4"/>
  <c r="W14" i="4"/>
  <c r="Q14" i="4"/>
  <c r="K14" i="4"/>
  <c r="I14" i="4"/>
  <c r="D14" i="4"/>
  <c r="B14" i="4"/>
  <c r="W13" i="4"/>
  <c r="Q13" i="4"/>
  <c r="W12" i="4"/>
  <c r="Q12" i="4"/>
  <c r="K12" i="4"/>
  <c r="I12" i="4"/>
  <c r="D12" i="4"/>
  <c r="B12" i="4"/>
  <c r="W11" i="4"/>
  <c r="K11" i="4"/>
  <c r="I11" i="4"/>
  <c r="D11" i="4"/>
  <c r="B11" i="4"/>
  <c r="W10" i="4"/>
  <c r="Q10" i="4"/>
  <c r="W9" i="4"/>
  <c r="Q9" i="4"/>
  <c r="K9" i="4"/>
  <c r="I9" i="4"/>
  <c r="D9" i="4"/>
  <c r="B9" i="4"/>
  <c r="W8" i="4"/>
  <c r="Q8" i="4"/>
  <c r="K8" i="4"/>
  <c r="I8" i="4"/>
  <c r="D8" i="4"/>
  <c r="B8" i="4"/>
  <c r="K7" i="4"/>
  <c r="I7" i="4"/>
  <c r="D7" i="4"/>
  <c r="B7" i="4"/>
  <c r="W6" i="4"/>
  <c r="Q6" i="4"/>
  <c r="W22" i="1"/>
  <c r="W23" i="1"/>
  <c r="Q49" i="1"/>
  <c r="Q48" i="1"/>
  <c r="Q47" i="1"/>
  <c r="Q46" i="1"/>
  <c r="Q45" i="1"/>
  <c r="Q43" i="1"/>
  <c r="Q42" i="1"/>
  <c r="Q41" i="1"/>
  <c r="Q40" i="1"/>
  <c r="Q39" i="1"/>
  <c r="Q38" i="1"/>
  <c r="Q37" i="1"/>
  <c r="Q36" i="1"/>
  <c r="Q34" i="1"/>
  <c r="Q33" i="1"/>
  <c r="Q32" i="1"/>
  <c r="Q31" i="1"/>
  <c r="Q30" i="1"/>
  <c r="Q29" i="1"/>
  <c r="Q28" i="1"/>
  <c r="Q27" i="1"/>
  <c r="Q26" i="1"/>
  <c r="Q24" i="1"/>
  <c r="Q23" i="1"/>
  <c r="Q22" i="1"/>
  <c r="Q21" i="1"/>
  <c r="Q19" i="1"/>
  <c r="Q18" i="1"/>
  <c r="Q17" i="1"/>
  <c r="Q16" i="1"/>
  <c r="Q15" i="1"/>
  <c r="Q14" i="1"/>
  <c r="Q13" i="1"/>
  <c r="Q12" i="1"/>
  <c r="Q10" i="1"/>
  <c r="Q9" i="1"/>
  <c r="Q8" i="1"/>
  <c r="Q6" i="1"/>
  <c r="W49" i="1"/>
  <c r="W48" i="1"/>
  <c r="W47" i="1"/>
  <c r="W46" i="1"/>
  <c r="W45" i="1"/>
  <c r="W43" i="1"/>
  <c r="W42" i="1"/>
  <c r="W41" i="1"/>
  <c r="W40" i="1"/>
  <c r="W39" i="1"/>
  <c r="W38" i="1"/>
  <c r="W37" i="1"/>
  <c r="W36" i="1"/>
  <c r="W34" i="1"/>
  <c r="W33" i="1"/>
  <c r="W32" i="1"/>
  <c r="W31" i="1"/>
  <c r="W30" i="1"/>
  <c r="W29" i="1"/>
  <c r="W28" i="1"/>
  <c r="W27" i="1"/>
  <c r="W26" i="1"/>
  <c r="W24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  <c r="W6" i="1"/>
  <c r="C27" i="1"/>
  <c r="E27" i="1"/>
  <c r="G27" i="1"/>
  <c r="J27" i="1"/>
  <c r="L27" i="1"/>
  <c r="N27" i="1"/>
  <c r="C28" i="1"/>
  <c r="E28" i="1"/>
  <c r="G28" i="1"/>
  <c r="J28" i="1"/>
  <c r="L28" i="1"/>
  <c r="N28" i="1"/>
  <c r="C29" i="1"/>
  <c r="E29" i="1"/>
  <c r="G29" i="1"/>
  <c r="J29" i="1"/>
  <c r="L29" i="1"/>
  <c r="N29" i="1"/>
  <c r="C30" i="1"/>
  <c r="E30" i="1"/>
  <c r="G30" i="1"/>
  <c r="J30" i="1"/>
  <c r="L30" i="1"/>
  <c r="N30" i="1"/>
  <c r="C31" i="1"/>
  <c r="E31" i="1"/>
  <c r="G31" i="1"/>
  <c r="J31" i="1"/>
  <c r="L31" i="1"/>
  <c r="N31" i="1"/>
  <c r="C34" i="1"/>
  <c r="E34" i="1"/>
  <c r="G34" i="1"/>
  <c r="J34" i="1"/>
  <c r="L34" i="1"/>
  <c r="N34" i="1"/>
  <c r="C35" i="1"/>
  <c r="E35" i="1"/>
  <c r="G35" i="1"/>
  <c r="J35" i="1"/>
  <c r="L35" i="1"/>
  <c r="N35" i="1"/>
  <c r="C38" i="1"/>
  <c r="E38" i="1"/>
  <c r="G38" i="1"/>
  <c r="J38" i="1"/>
  <c r="L38" i="1"/>
  <c r="N38" i="1"/>
  <c r="C39" i="1"/>
  <c r="E39" i="1"/>
  <c r="G39" i="1"/>
  <c r="J39" i="1"/>
  <c r="L39" i="1"/>
  <c r="N39" i="1"/>
  <c r="C40" i="1"/>
  <c r="E40" i="1"/>
  <c r="G40" i="1"/>
  <c r="J40" i="1"/>
  <c r="L40" i="1"/>
  <c r="N40" i="1"/>
  <c r="C41" i="1"/>
  <c r="E41" i="1"/>
  <c r="G41" i="1"/>
  <c r="J41" i="1"/>
  <c r="L41" i="1"/>
  <c r="N41" i="1"/>
  <c r="C42" i="1"/>
  <c r="E42" i="1"/>
  <c r="G42" i="1"/>
  <c r="J42" i="1"/>
  <c r="L42" i="1"/>
  <c r="N42" i="1"/>
  <c r="C45" i="1"/>
  <c r="E45" i="1"/>
  <c r="G45" i="1"/>
  <c r="C46" i="1"/>
  <c r="E46" i="1"/>
  <c r="G46" i="1"/>
  <c r="J46" i="1"/>
  <c r="L46" i="1"/>
  <c r="N46" i="1"/>
  <c r="C47" i="1"/>
  <c r="E47" i="1"/>
  <c r="G47" i="1"/>
  <c r="J47" i="1"/>
  <c r="L47" i="1"/>
  <c r="N47" i="1"/>
  <c r="C48" i="1"/>
  <c r="E48" i="1"/>
  <c r="G48" i="1"/>
  <c r="J48" i="1"/>
  <c r="L48" i="1"/>
  <c r="N48" i="1"/>
  <c r="C49" i="1"/>
  <c r="E49" i="1"/>
  <c r="G49" i="1"/>
  <c r="J49" i="1"/>
  <c r="L49" i="1"/>
  <c r="N49" i="1"/>
  <c r="C50" i="1"/>
  <c r="E50" i="1"/>
  <c r="G50" i="1"/>
  <c r="J50" i="1"/>
  <c r="L50" i="1"/>
  <c r="N50" i="1"/>
  <c r="B15" i="1"/>
  <c r="X40" i="1"/>
  <c r="V49" i="1"/>
  <c r="T49" i="1"/>
  <c r="R49" i="1"/>
  <c r="J7" i="1"/>
  <c r="J9" i="1"/>
  <c r="J14" i="1"/>
  <c r="N7" i="1"/>
  <c r="N9" i="1"/>
  <c r="N11" i="1"/>
  <c r="N12" i="1"/>
  <c r="N14" i="1"/>
  <c r="L7" i="1"/>
  <c r="L9" i="1"/>
  <c r="L11" i="1"/>
  <c r="L12" i="1"/>
  <c r="L14" i="1"/>
  <c r="G7" i="1"/>
  <c r="G9" i="1"/>
  <c r="G11" i="1"/>
  <c r="G14" i="1"/>
  <c r="E7" i="1"/>
  <c r="E9" i="1"/>
  <c r="E11" i="1"/>
  <c r="E14" i="1"/>
  <c r="C7" i="1"/>
  <c r="C9" i="1"/>
  <c r="C14" i="1"/>
  <c r="R40" i="1"/>
  <c r="R42" i="1"/>
  <c r="R15" i="1"/>
  <c r="R23" i="1"/>
  <c r="R32" i="1"/>
  <c r="C17" i="1"/>
  <c r="C19" i="1"/>
  <c r="C21" i="1"/>
  <c r="X42" i="1"/>
  <c r="X15" i="1"/>
  <c r="X23" i="1"/>
  <c r="X32" i="1"/>
  <c r="J17" i="1"/>
  <c r="J19" i="1"/>
  <c r="J21" i="1"/>
  <c r="X37" i="1"/>
  <c r="X43" i="1"/>
  <c r="X24" i="1"/>
  <c r="R37" i="1"/>
  <c r="R43" i="1"/>
  <c r="R24" i="1"/>
  <c r="J24" i="1"/>
  <c r="L17" i="1"/>
  <c r="L19" i="1"/>
  <c r="L21" i="1"/>
  <c r="I21" i="1"/>
  <c r="I20" i="1"/>
  <c r="I19" i="1"/>
  <c r="I18" i="1"/>
  <c r="I17" i="1"/>
  <c r="I16" i="1"/>
  <c r="I15" i="1"/>
  <c r="I14" i="1"/>
  <c r="I12" i="1"/>
  <c r="I11" i="1"/>
  <c r="I9" i="1"/>
  <c r="I8" i="1"/>
  <c r="I7" i="1"/>
  <c r="C24" i="1"/>
  <c r="E17" i="1"/>
  <c r="E19" i="1"/>
  <c r="E21" i="1"/>
  <c r="B21" i="1"/>
  <c r="B20" i="1"/>
  <c r="B19" i="1"/>
  <c r="B18" i="1"/>
  <c r="B17" i="1"/>
  <c r="B16" i="1"/>
  <c r="B14" i="1"/>
  <c r="B12" i="1"/>
  <c r="B11" i="1"/>
  <c r="B9" i="1"/>
  <c r="B8" i="1"/>
  <c r="B7" i="1"/>
  <c r="AB15" i="1"/>
  <c r="Z15" i="1"/>
  <c r="V15" i="1"/>
  <c r="T15" i="1"/>
  <c r="N24" i="1"/>
  <c r="L24" i="1"/>
  <c r="G24" i="1"/>
  <c r="E24" i="1"/>
  <c r="AB33" i="1"/>
  <c r="AB39" i="1"/>
  <c r="AB40" i="1"/>
  <c r="AB42" i="1"/>
  <c r="Z33" i="1"/>
  <c r="Z39" i="1"/>
  <c r="Z40" i="1"/>
  <c r="Z42" i="1"/>
  <c r="V40" i="1"/>
  <c r="V42" i="1"/>
  <c r="T40" i="1"/>
  <c r="T42" i="1"/>
  <c r="AB19" i="1"/>
  <c r="AB23" i="1"/>
  <c r="AB30" i="1"/>
  <c r="AB32" i="1"/>
  <c r="Z19" i="1"/>
  <c r="Z23" i="1"/>
  <c r="Z30" i="1"/>
  <c r="Z32" i="1"/>
  <c r="V19" i="1"/>
  <c r="V23" i="1"/>
  <c r="V32" i="1"/>
  <c r="T19" i="1"/>
  <c r="T23" i="1"/>
  <c r="T32" i="1"/>
  <c r="N17" i="1"/>
  <c r="N19" i="1"/>
  <c r="N21" i="1"/>
  <c r="AB34" i="1"/>
  <c r="AB37" i="1"/>
  <c r="AB43" i="1"/>
  <c r="AB24" i="1"/>
  <c r="Z34" i="1"/>
  <c r="Z37" i="1"/>
  <c r="Z43" i="1"/>
  <c r="Z24" i="1"/>
  <c r="G17" i="1"/>
  <c r="G19" i="1"/>
  <c r="G21" i="1"/>
  <c r="V37" i="1"/>
  <c r="V43" i="1"/>
  <c r="V24" i="1"/>
  <c r="T37" i="1"/>
  <c r="T43" i="1"/>
  <c r="T24" i="1"/>
  <c r="K21" i="1"/>
  <c r="K20" i="1"/>
  <c r="K19" i="1"/>
  <c r="K18" i="1"/>
  <c r="K17" i="1"/>
  <c r="K16" i="1"/>
  <c r="K15" i="1"/>
  <c r="K14" i="1"/>
  <c r="K12" i="1"/>
  <c r="K11" i="1"/>
  <c r="K9" i="1"/>
  <c r="K8" i="1"/>
  <c r="K7" i="1"/>
  <c r="D21" i="1"/>
  <c r="D20" i="1"/>
  <c r="D19" i="1"/>
  <c r="D18" i="1"/>
  <c r="D17" i="1"/>
  <c r="D16" i="1"/>
  <c r="D15" i="1"/>
  <c r="D14" i="1"/>
  <c r="D12" i="1"/>
  <c r="D11" i="1"/>
  <c r="D9" i="1"/>
  <c r="D8" i="1"/>
  <c r="D7" i="1"/>
</calcChain>
</file>

<file path=xl/sharedStrings.xml><?xml version="1.0" encoding="utf-8"?>
<sst xmlns="http://schemas.openxmlformats.org/spreadsheetml/2006/main" count="214" uniqueCount="98">
  <si>
    <t>Net sales</t>
  </si>
  <si>
    <t>Other revenue</t>
  </si>
  <si>
    <t>Total revenue</t>
  </si>
  <si>
    <t>Cost of Sales</t>
  </si>
  <si>
    <t>Selling, general and admin expenses</t>
  </si>
  <si>
    <t>Operating expenses</t>
  </si>
  <si>
    <t>Depreciation, ammortization &amp; provisions</t>
  </si>
  <si>
    <t>Operating profit/income</t>
  </si>
  <si>
    <t>Gross profit/margin</t>
  </si>
  <si>
    <t>Shares of results of associates and equity investees</t>
  </si>
  <si>
    <t>Income before taxes</t>
  </si>
  <si>
    <t>Income taxes</t>
  </si>
  <si>
    <t>Profit from continuing operations</t>
  </si>
  <si>
    <t>Discontinued operations</t>
  </si>
  <si>
    <t xml:space="preserve">Profit for the year </t>
  </si>
  <si>
    <t>Profitability</t>
  </si>
  <si>
    <t>Return on equity</t>
  </si>
  <si>
    <t>Gross profit margin</t>
  </si>
  <si>
    <t>Net profit margin</t>
  </si>
  <si>
    <t>Return on capital employed (ROCE)</t>
  </si>
  <si>
    <t>Operating margin</t>
  </si>
  <si>
    <t>% Change</t>
  </si>
  <si>
    <t>on PY</t>
  </si>
  <si>
    <t>Income Statement</t>
  </si>
  <si>
    <t>Balance sheet/Statement of financial position</t>
  </si>
  <si>
    <t>Assets</t>
  </si>
  <si>
    <t>Goodwill</t>
  </si>
  <si>
    <t>Other intangible assets</t>
  </si>
  <si>
    <t>Property, plant &amp; equipment</t>
  </si>
  <si>
    <t>Investment property</t>
  </si>
  <si>
    <t>Investments in JVs and associates</t>
  </si>
  <si>
    <t>Loans and advances to customers</t>
  </si>
  <si>
    <t>Deferred tax assets</t>
  </si>
  <si>
    <t>Other</t>
  </si>
  <si>
    <t>Non-current assets</t>
  </si>
  <si>
    <t>Inventories</t>
  </si>
  <si>
    <t>Trade receivables</t>
  </si>
  <si>
    <t>Other current assets</t>
  </si>
  <si>
    <t>Cash and cash equivalents</t>
  </si>
  <si>
    <t>Assets held for sale</t>
  </si>
  <si>
    <t>Current assets</t>
  </si>
  <si>
    <t>Total assets</t>
  </si>
  <si>
    <t>€ millions</t>
  </si>
  <si>
    <t>Liabilities and Shareholders' Equity</t>
  </si>
  <si>
    <t>Short-term borrowings</t>
  </si>
  <si>
    <t>Suppliers and other creditors</t>
  </si>
  <si>
    <t>Consumer credit financing</t>
  </si>
  <si>
    <t>Current liabilities</t>
  </si>
  <si>
    <t>Liabilities held for sale</t>
  </si>
  <si>
    <t>Long-term borrowings</t>
  </si>
  <si>
    <t>Provisions</t>
  </si>
  <si>
    <t>Non-current liabilities</t>
  </si>
  <si>
    <t>Share capital</t>
  </si>
  <si>
    <t>Reserves</t>
  </si>
  <si>
    <t>Shareholders equity - Group</t>
  </si>
  <si>
    <t>Non-controlling interests</t>
  </si>
  <si>
    <t>Shareholders equity</t>
  </si>
  <si>
    <t>Total Liabilities &amp; Shareholders Equity</t>
  </si>
  <si>
    <t>Other investments</t>
  </si>
  <si>
    <t>Short-term investments</t>
  </si>
  <si>
    <t>Liquidity</t>
  </si>
  <si>
    <t>Current ratio</t>
  </si>
  <si>
    <t>Quick ratio(acid test)</t>
  </si>
  <si>
    <t>Efficiency</t>
  </si>
  <si>
    <t>Asset turnover</t>
  </si>
  <si>
    <t>Inventory holding period</t>
  </si>
  <si>
    <t>Trade payable payment period</t>
  </si>
  <si>
    <t>Inventory turnover</t>
  </si>
  <si>
    <t>Trade receivables collection period (DSO)</t>
  </si>
  <si>
    <t>Investment ratios</t>
  </si>
  <si>
    <t>Earnings per share</t>
  </si>
  <si>
    <t>Price earnings ratio</t>
  </si>
  <si>
    <t>Dividend cover</t>
  </si>
  <si>
    <t>Dividend yield</t>
  </si>
  <si>
    <t>Capital gearing ratio</t>
  </si>
  <si>
    <t>Interest cover</t>
  </si>
  <si>
    <t>Group</t>
  </si>
  <si>
    <t>Non controlling interests</t>
  </si>
  <si>
    <t>Weighted average number of shares o/s</t>
  </si>
  <si>
    <t>Share price Dec 31</t>
  </si>
  <si>
    <t>Dividend per share</t>
  </si>
  <si>
    <t>Number of Shares o/s  at Dec 31</t>
  </si>
  <si>
    <t>Other income (expense)</t>
  </si>
  <si>
    <t>Finance income (expense)</t>
  </si>
  <si>
    <t>Market capitaization (millions)</t>
  </si>
  <si>
    <t>Company 1  (Year to December) € millions</t>
  </si>
  <si>
    <t>Company 1 € millions</t>
  </si>
  <si>
    <t>Company 2  (Year to February) £ millions</t>
  </si>
  <si>
    <t>Company 2 £ millions</t>
  </si>
  <si>
    <t>Company 1 (Year to December) € millions</t>
  </si>
  <si>
    <t>Company 1€ millions</t>
  </si>
  <si>
    <t>Company 2 (Year to February) £ millions</t>
  </si>
  <si>
    <t>Effective tax rate</t>
  </si>
  <si>
    <t>R&amp;D as a % of Revenue</t>
  </si>
  <si>
    <t>Intangibles as a % of total assets</t>
  </si>
  <si>
    <t>Intangibles as a % equity</t>
  </si>
  <si>
    <t xml:space="preserve"> Market Capitalizationas a % of Equity </t>
  </si>
  <si>
    <t>Market Capitalization as a % of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</si>
</sst>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-* #,##0_-;\-* #,##0_-;_-* &quot;-&quot;??_-;_-@_-"/>
    <numFmt numFmtId="165" formatCode="#,##0;[Red]\(#,##0\)"/>
    <numFmt numFmtId="166" formatCode="0.0%"/>
    <numFmt numFmtId="167" formatCode="#,##0.0;[Red]\(#,##0.0\)"/>
    <numFmt numFmtId="168" formatCode="#,##0;\(#,##0\)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3366FF"/>
      <name val="Calibri"/>
      <scheme val="minor"/>
    </font>
    <font>
      <b/>
      <sz val="12"/>
      <color rgb="FF3366FF"/>
      <name val="Calibri"/>
      <scheme val="minor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8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164" fontId="0" fillId="0" borderId="0" xfId="1" applyNumberFormat="1" applyFont="1"/>
    <xf numFmtId="165" fontId="0" fillId="0" borderId="0" xfId="0" applyNumberFormat="1"/>
    <xf numFmtId="165" fontId="0" fillId="0" borderId="0" xfId="1" applyNumberFormat="1" applyFont="1"/>
    <xf numFmtId="165" fontId="0" fillId="0" borderId="1" xfId="1" applyNumberFormat="1" applyFont="1" applyBorder="1"/>
    <xf numFmtId="165" fontId="0" fillId="0" borderId="2" xfId="1" applyNumberFormat="1" applyFont="1" applyBorder="1"/>
    <xf numFmtId="0" fontId="0" fillId="0" borderId="1" xfId="0" applyBorder="1"/>
    <xf numFmtId="0" fontId="5" fillId="0" borderId="0" xfId="0" applyFont="1" applyAlignment="1">
      <alignment horizontal="center"/>
    </xf>
    <xf numFmtId="166" fontId="0" fillId="0" borderId="0" xfId="2" applyNumberFormat="1" applyFont="1"/>
    <xf numFmtId="9" fontId="5" fillId="0" borderId="0" xfId="2" applyFont="1"/>
    <xf numFmtId="166" fontId="5" fillId="0" borderId="0" xfId="2" applyNumberFormat="1" applyFont="1" applyAlignment="1">
      <alignment horizontal="center"/>
    </xf>
    <xf numFmtId="0" fontId="6" fillId="0" borderId="0" xfId="0" applyFont="1" applyAlignment="1">
      <alignment wrapText="1"/>
    </xf>
    <xf numFmtId="0" fontId="6" fillId="0" borderId="0" xfId="0" applyFont="1" applyAlignment="1"/>
    <xf numFmtId="164" fontId="0" fillId="0" borderId="1" xfId="1" applyNumberFormat="1" applyFont="1" applyBorder="1"/>
    <xf numFmtId="164" fontId="0" fillId="0" borderId="2" xfId="1" applyNumberFormat="1" applyFont="1" applyBorder="1"/>
    <xf numFmtId="164" fontId="0" fillId="0" borderId="0" xfId="0" applyNumberFormat="1"/>
    <xf numFmtId="164" fontId="0" fillId="0" borderId="2" xfId="0" applyNumberFormat="1" applyBorder="1"/>
    <xf numFmtId="0" fontId="0" fillId="0" borderId="0" xfId="0" applyAlignment="1">
      <alignment horizontal="right"/>
    </xf>
    <xf numFmtId="43" fontId="0" fillId="0" borderId="0" xfId="0" applyNumberFormat="1"/>
    <xf numFmtId="2" fontId="0" fillId="0" borderId="0" xfId="0" applyNumberFormat="1"/>
    <xf numFmtId="165" fontId="0" fillId="0" borderId="2" xfId="0" applyNumberFormat="1" applyBorder="1"/>
    <xf numFmtId="165" fontId="0" fillId="0" borderId="0" xfId="1" applyNumberFormat="1" applyFont="1" applyBorder="1"/>
    <xf numFmtId="165" fontId="0" fillId="0" borderId="0" xfId="0" applyNumberFormat="1" applyBorder="1"/>
    <xf numFmtId="0" fontId="0" fillId="0" borderId="1" xfId="0" applyBorder="1" applyAlignment="1">
      <alignment wrapText="1"/>
    </xf>
    <xf numFmtId="43" fontId="0" fillId="0" borderId="0" xfId="1" applyNumberFormat="1" applyFont="1"/>
    <xf numFmtId="0" fontId="0" fillId="0" borderId="0" xfId="0" applyBorder="1"/>
    <xf numFmtId="0" fontId="2" fillId="0" borderId="0" xfId="0" applyFont="1" applyBorder="1" applyAlignment="1">
      <alignment horizontal="center"/>
    </xf>
    <xf numFmtId="165" fontId="0" fillId="0" borderId="0" xfId="0" applyNumberFormat="1" applyFill="1" applyBorder="1"/>
    <xf numFmtId="9" fontId="0" fillId="0" borderId="0" xfId="2" applyFont="1" applyFill="1" applyBorder="1"/>
    <xf numFmtId="0" fontId="0" fillId="0" borderId="0" xfId="0" applyFill="1" applyBorder="1"/>
    <xf numFmtId="166" fontId="0" fillId="0" borderId="0" xfId="2" applyNumberFormat="1" applyFont="1" applyFill="1" applyBorder="1"/>
    <xf numFmtId="2" fontId="0" fillId="0" borderId="0" xfId="0" applyNumberFormat="1" applyFill="1" applyBorder="1" applyAlignment="1">
      <alignment horizontal="right"/>
    </xf>
    <xf numFmtId="2" fontId="0" fillId="0" borderId="0" xfId="2" applyNumberFormat="1" applyFont="1" applyFill="1" applyBorder="1" applyAlignment="1">
      <alignment horizontal="right"/>
    </xf>
    <xf numFmtId="43" fontId="0" fillId="0" borderId="0" xfId="0" applyNumberFormat="1" applyFill="1" applyBorder="1"/>
    <xf numFmtId="43" fontId="7" fillId="0" borderId="0" xfId="0" applyNumberFormat="1" applyFont="1" applyFill="1" applyBorder="1"/>
    <xf numFmtId="167" fontId="0" fillId="0" borderId="0" xfId="0" applyNumberFormat="1" applyFill="1" applyBorder="1"/>
    <xf numFmtId="10" fontId="0" fillId="0" borderId="0" xfId="2" applyNumberFormat="1" applyFont="1" applyFill="1" applyBorder="1"/>
    <xf numFmtId="2" fontId="0" fillId="0" borderId="0" xfId="0" applyNumberFormat="1" applyFill="1" applyBorder="1"/>
    <xf numFmtId="0" fontId="2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9" fontId="5" fillId="0" borderId="1" xfId="2" applyFont="1" applyBorder="1"/>
    <xf numFmtId="0" fontId="5" fillId="0" borderId="0" xfId="0" applyFont="1"/>
    <xf numFmtId="166" fontId="5" fillId="0" borderId="0" xfId="2" applyNumberFormat="1" applyFont="1"/>
    <xf numFmtId="2" fontId="5" fillId="0" borderId="0" xfId="2" applyNumberFormat="1" applyFont="1" applyFill="1" applyBorder="1" applyAlignment="1">
      <alignment horizontal="right"/>
    </xf>
    <xf numFmtId="166" fontId="5" fillId="0" borderId="0" xfId="2" applyNumberFormat="1" applyFont="1" applyFill="1" applyBorder="1"/>
    <xf numFmtId="9" fontId="5" fillId="0" borderId="2" xfId="2" applyFont="1" applyBorder="1"/>
    <xf numFmtId="9" fontId="0" fillId="0" borderId="0" xfId="2" applyFont="1" applyAlignment="1">
      <alignment wrapText="1"/>
    </xf>
    <xf numFmtId="0" fontId="2" fillId="0" borderId="1" xfId="0" applyFont="1" applyBorder="1" applyAlignment="1">
      <alignment horizontal="center"/>
    </xf>
    <xf numFmtId="168" fontId="7" fillId="0" borderId="0" xfId="0" applyNumberFormat="1" applyFont="1"/>
  </cellXfs>
  <cellStyles count="287">
    <cellStyle name="Comma" xfId="1" builtinId="3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Normal" xfId="0" builtinId="0"/>
    <cellStyle name="Percent" xfId="2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B57"/>
  <sheetViews>
    <sheetView workbookViewId="0">
      <selection activeCell="AA2" sqref="AA1:AB1048576"/>
    </sheetView>
  </sheetViews>
  <sheetFormatPr baseColWidth="10" defaultRowHeight="15" x14ac:dyDescent="0"/>
  <cols>
    <col min="1" max="1" width="32.83203125" style="1" customWidth="1"/>
    <col min="2" max="2" width="9" style="1" customWidth="1"/>
    <col min="3" max="3" width="9.6640625" style="1" customWidth="1"/>
    <col min="4" max="4" width="9.1640625" customWidth="1"/>
    <col min="5" max="5" width="9.6640625" customWidth="1"/>
    <col min="6" max="6" width="4.33203125" customWidth="1"/>
    <col min="7" max="7" width="9.6640625" customWidth="1"/>
    <col min="8" max="8" width="3.83203125" customWidth="1"/>
    <col min="9" max="9" width="9.1640625" customWidth="1"/>
    <col min="10" max="10" width="9.6640625" customWidth="1"/>
    <col min="11" max="11" width="9.1640625" style="11" customWidth="1"/>
    <col min="12" max="12" width="9.6640625" customWidth="1"/>
    <col min="13" max="13" width="4.33203125" customWidth="1"/>
    <col min="14" max="14" width="9.6640625" customWidth="1"/>
    <col min="15" max="15" width="5.5" customWidth="1"/>
    <col min="16" max="16" width="39.6640625" style="1" customWidth="1"/>
    <col min="17" max="17" width="9.1640625" style="45" customWidth="1"/>
    <col min="18" max="18" width="13.1640625" customWidth="1"/>
    <col min="19" max="19" width="3.6640625" customWidth="1"/>
    <col min="20" max="20" width="13.1640625" customWidth="1"/>
    <col min="21" max="21" width="3.6640625" hidden="1" customWidth="1"/>
    <col min="22" max="22" width="13.1640625" hidden="1" customWidth="1"/>
    <col min="23" max="23" width="9.1640625" style="45" customWidth="1"/>
    <col min="24" max="24" width="14" customWidth="1"/>
    <col min="25" max="25" width="3.6640625" customWidth="1"/>
    <col min="26" max="26" width="13.83203125" customWidth="1"/>
    <col min="27" max="27" width="3.6640625" hidden="1" customWidth="1"/>
    <col min="28" max="28" width="14.1640625" hidden="1" customWidth="1"/>
  </cols>
  <sheetData>
    <row r="1" spans="1:28">
      <c r="B1" s="50" t="s">
        <v>85</v>
      </c>
      <c r="C1" s="50"/>
      <c r="D1" s="50"/>
      <c r="E1" s="50"/>
      <c r="F1" s="50"/>
      <c r="G1" s="50"/>
      <c r="H1" s="29"/>
      <c r="I1" s="50" t="s">
        <v>87</v>
      </c>
      <c r="J1" s="50"/>
      <c r="K1" s="50"/>
      <c r="L1" s="50"/>
      <c r="M1" s="50"/>
      <c r="N1" s="50"/>
      <c r="Q1" s="44"/>
      <c r="R1" s="50" t="s">
        <v>86</v>
      </c>
      <c r="S1" s="50"/>
      <c r="T1" s="50"/>
      <c r="U1" s="50"/>
      <c r="V1" s="50"/>
      <c r="W1" s="44"/>
      <c r="X1" s="50" t="s">
        <v>88</v>
      </c>
      <c r="Y1" s="50"/>
      <c r="Z1" s="50"/>
      <c r="AA1" s="50"/>
      <c r="AB1" s="50"/>
    </row>
    <row r="2" spans="1:28">
      <c r="A2" s="1" t="s">
        <v>42</v>
      </c>
      <c r="C2" s="1">
        <v>2014</v>
      </c>
      <c r="E2">
        <v>2013</v>
      </c>
      <c r="G2">
        <v>2012</v>
      </c>
      <c r="J2">
        <v>2014</v>
      </c>
      <c r="L2">
        <v>2013</v>
      </c>
      <c r="N2">
        <v>2012</v>
      </c>
      <c r="R2" s="20">
        <v>2014</v>
      </c>
      <c r="T2" s="20">
        <v>2013</v>
      </c>
      <c r="U2" s="20"/>
      <c r="V2" s="20">
        <v>2012</v>
      </c>
      <c r="X2">
        <v>2014</v>
      </c>
      <c r="Z2">
        <v>2013</v>
      </c>
      <c r="AB2">
        <v>2012</v>
      </c>
    </row>
    <row r="3" spans="1:28">
      <c r="B3" s="10" t="s">
        <v>21</v>
      </c>
      <c r="C3"/>
      <c r="D3" s="10" t="s">
        <v>21</v>
      </c>
      <c r="I3" s="13" t="s">
        <v>21</v>
      </c>
      <c r="K3" s="13" t="s">
        <v>21</v>
      </c>
      <c r="Q3" s="13" t="s">
        <v>21</v>
      </c>
      <c r="W3" s="13" t="s">
        <v>21</v>
      </c>
    </row>
    <row r="4" spans="1:28">
      <c r="A4" s="14" t="s">
        <v>23</v>
      </c>
      <c r="B4" s="10" t="s">
        <v>22</v>
      </c>
      <c r="C4" s="5"/>
      <c r="D4" s="10" t="s">
        <v>22</v>
      </c>
      <c r="E4" s="5"/>
      <c r="F4" s="5"/>
      <c r="G4" s="5"/>
      <c r="H4" s="5"/>
      <c r="I4" s="13" t="s">
        <v>22</v>
      </c>
      <c r="J4" s="5"/>
      <c r="K4" s="13" t="s">
        <v>22</v>
      </c>
      <c r="L4" s="5"/>
      <c r="M4" s="5"/>
      <c r="N4" s="5"/>
      <c r="P4" s="15" t="s">
        <v>24</v>
      </c>
      <c r="Q4" s="13" t="s">
        <v>22</v>
      </c>
      <c r="W4" s="13" t="s">
        <v>22</v>
      </c>
    </row>
    <row r="5" spans="1:28">
      <c r="A5" s="1" t="s">
        <v>0</v>
      </c>
      <c r="B5" s="12"/>
      <c r="C5" s="6">
        <v>74097</v>
      </c>
      <c r="D5" s="12"/>
      <c r="E5" s="6">
        <v>74299</v>
      </c>
      <c r="F5" s="6"/>
      <c r="G5" s="6">
        <v>75021</v>
      </c>
      <c r="H5" s="6"/>
      <c r="I5" s="12"/>
      <c r="J5" s="6">
        <v>62284</v>
      </c>
      <c r="K5" s="12"/>
      <c r="L5" s="6">
        <v>63557</v>
      </c>
      <c r="M5" s="6"/>
      <c r="N5" s="6">
        <v>63406</v>
      </c>
      <c r="P5" s="3" t="s">
        <v>25</v>
      </c>
      <c r="Q5" s="12"/>
      <c r="R5" s="4"/>
      <c r="S5" s="4"/>
      <c r="T5" s="4"/>
      <c r="U5" s="4"/>
      <c r="V5" s="4"/>
      <c r="W5" s="12"/>
      <c r="X5" s="4"/>
      <c r="Y5" s="4"/>
      <c r="Z5" s="4"/>
      <c r="AA5" s="4"/>
      <c r="AB5" s="4"/>
    </row>
    <row r="6" spans="1:28">
      <c r="A6" s="1" t="s">
        <v>1</v>
      </c>
      <c r="B6" s="12"/>
      <c r="C6" s="7">
        <v>2221</v>
      </c>
      <c r="D6" s="12"/>
      <c r="E6" s="7">
        <v>2375</v>
      </c>
      <c r="F6" s="6"/>
      <c r="G6" s="7">
        <v>2309</v>
      </c>
      <c r="H6" s="24"/>
      <c r="I6" s="12"/>
      <c r="J6" s="9"/>
      <c r="K6" s="12"/>
      <c r="L6" s="9"/>
      <c r="M6" s="6"/>
      <c r="N6" s="7"/>
      <c r="P6" s="1" t="s">
        <v>26</v>
      </c>
      <c r="Q6" s="12">
        <f>(R6-T6)/T6</f>
        <v>-5.9200193306753659E-3</v>
      </c>
      <c r="R6" s="4">
        <v>8228</v>
      </c>
      <c r="S6" s="4"/>
      <c r="T6" s="4">
        <v>8277</v>
      </c>
      <c r="U6" s="4"/>
      <c r="V6" s="4">
        <v>8608</v>
      </c>
      <c r="W6" s="12">
        <f>(X6-Z6)/Z6</f>
        <v>-6.3241106719367588E-3</v>
      </c>
      <c r="X6" s="4">
        <v>3771</v>
      </c>
      <c r="Y6" s="4"/>
      <c r="Z6" s="4">
        <v>3795</v>
      </c>
      <c r="AA6" s="4"/>
      <c r="AB6" s="4">
        <v>4362</v>
      </c>
    </row>
    <row r="7" spans="1:28">
      <c r="A7" s="2" t="s">
        <v>2</v>
      </c>
      <c r="B7" s="12">
        <f>(C7-E7)/E7</f>
        <v>-4.6430341445600851E-3</v>
      </c>
      <c r="C7" s="6">
        <f>SUM(C5:C6)</f>
        <v>76318</v>
      </c>
      <c r="D7" s="12">
        <f>(E7-G7)/G7</f>
        <v>-8.4831242725979562E-3</v>
      </c>
      <c r="E7" s="6">
        <f>SUM(E5:E6)</f>
        <v>76674</v>
      </c>
      <c r="F7" s="6"/>
      <c r="G7" s="6">
        <f>SUM(G5:G6)</f>
        <v>77330</v>
      </c>
      <c r="H7" s="6"/>
      <c r="I7" s="12">
        <f>(J7-L7)/L7</f>
        <v>-2.0029265069150527E-2</v>
      </c>
      <c r="J7" s="6">
        <f>SUM(J5:J6)</f>
        <v>62284</v>
      </c>
      <c r="K7" s="12">
        <f>(L7-N7)/N7</f>
        <v>2.3814780935558148E-3</v>
      </c>
      <c r="L7" s="6">
        <f>SUM(L5:L6)</f>
        <v>63557</v>
      </c>
      <c r="M7" s="6"/>
      <c r="N7" s="6">
        <f>SUM(N5:N6)</f>
        <v>63406</v>
      </c>
      <c r="P7" s="1" t="s">
        <v>27</v>
      </c>
      <c r="Q7" s="12"/>
      <c r="R7" s="4">
        <v>1315</v>
      </c>
      <c r="S7" s="4"/>
      <c r="T7" s="4">
        <v>767</v>
      </c>
      <c r="U7" s="4"/>
      <c r="V7" s="4">
        <v>801</v>
      </c>
      <c r="W7" s="12"/>
      <c r="X7" s="4"/>
      <c r="Y7" s="4"/>
      <c r="Z7" s="4"/>
      <c r="AA7" s="4"/>
      <c r="AB7" s="4"/>
    </row>
    <row r="8" spans="1:28">
      <c r="A8" s="1" t="s">
        <v>3</v>
      </c>
      <c r="B8" s="12">
        <f>(C8-E8)/E8</f>
        <v>-9.3267366450491412E-3</v>
      </c>
      <c r="C8" s="7">
        <v>-59270</v>
      </c>
      <c r="D8" s="12">
        <f>(E8-G8)/G8</f>
        <v>-1.3699533457524851E-2</v>
      </c>
      <c r="E8" s="7">
        <v>-59828</v>
      </c>
      <c r="F8" s="6"/>
      <c r="G8" s="7">
        <v>-60659</v>
      </c>
      <c r="H8" s="24"/>
      <c r="I8" s="12">
        <f t="shared" ref="I8:I9" si="0">(J8-L8)/L8</f>
        <v>-6.2137000341646736E-3</v>
      </c>
      <c r="J8" s="7">
        <v>-46541</v>
      </c>
      <c r="K8" s="12">
        <f t="shared" ref="K8:K12" si="1">(L8-N8)/N8</f>
        <v>-1.2483130904183536E-2</v>
      </c>
      <c r="L8" s="7">
        <v>-46832</v>
      </c>
      <c r="M8" s="6"/>
      <c r="N8" s="7">
        <v>-47424</v>
      </c>
      <c r="P8" s="1" t="s">
        <v>28</v>
      </c>
      <c r="Q8" s="12">
        <f t="shared" ref="Q8:Q24" si="2">(R8-T8)/T8</f>
        <v>0.10468989107930507</v>
      </c>
      <c r="R8" s="4">
        <v>12272</v>
      </c>
      <c r="S8" s="4"/>
      <c r="T8" s="4">
        <v>11109</v>
      </c>
      <c r="U8" s="4"/>
      <c r="V8" s="4">
        <v>11509</v>
      </c>
      <c r="W8" s="12">
        <f t="shared" ref="W8:W24" si="3">(X8-Z8)/Z8</f>
        <v>-0.16537362188648427</v>
      </c>
      <c r="X8" s="4">
        <v>20440</v>
      </c>
      <c r="Y8" s="4"/>
      <c r="Z8" s="4">
        <v>24490</v>
      </c>
      <c r="AA8" s="4"/>
      <c r="AB8" s="4">
        <v>24870</v>
      </c>
    </row>
    <row r="9" spans="1:28">
      <c r="A9" s="2" t="s">
        <v>8</v>
      </c>
      <c r="B9" s="12">
        <f>(C9-E9)/E9</f>
        <v>1.1990977086548735E-2</v>
      </c>
      <c r="C9" s="6">
        <f>SUM(C7:C8)</f>
        <v>17048</v>
      </c>
      <c r="D9" s="12">
        <f>(E9-G9)/G9</f>
        <v>1.04972707096155E-2</v>
      </c>
      <c r="E9" s="6">
        <f>SUM(E7:E8)</f>
        <v>16846</v>
      </c>
      <c r="F9" s="6"/>
      <c r="G9" s="6">
        <f>SUM(G7:G8)</f>
        <v>16671</v>
      </c>
      <c r="H9" s="6"/>
      <c r="I9" s="12">
        <f t="shared" si="0"/>
        <v>-5.8714499252615841E-2</v>
      </c>
      <c r="J9" s="6">
        <f>SUM(J7:J8)</f>
        <v>15743</v>
      </c>
      <c r="K9" s="12">
        <f t="shared" si="1"/>
        <v>4.6489801026154423E-2</v>
      </c>
      <c r="L9" s="6">
        <f>SUM(L7:L8)</f>
        <v>16725</v>
      </c>
      <c r="M9" s="6"/>
      <c r="N9" s="6">
        <f>SUM(N7:N8)</f>
        <v>15982</v>
      </c>
      <c r="P9" s="1" t="s">
        <v>29</v>
      </c>
      <c r="Q9" s="12">
        <f t="shared" si="2"/>
        <v>-5.4313099041533544E-2</v>
      </c>
      <c r="R9" s="4">
        <v>296</v>
      </c>
      <c r="S9" s="4"/>
      <c r="T9" s="4">
        <v>313</v>
      </c>
      <c r="U9" s="4"/>
      <c r="V9" s="4">
        <v>513</v>
      </c>
      <c r="W9" s="12">
        <f t="shared" si="3"/>
        <v>-0.27753303964757708</v>
      </c>
      <c r="X9" s="4">
        <v>164</v>
      </c>
      <c r="Y9" s="4"/>
      <c r="Z9" s="4">
        <v>227</v>
      </c>
      <c r="AA9" s="4"/>
      <c r="AB9" s="4">
        <v>2001</v>
      </c>
    </row>
    <row r="10" spans="1:28">
      <c r="A10" s="1" t="s">
        <v>5</v>
      </c>
      <c r="B10" s="12"/>
      <c r="C10" s="6"/>
      <c r="D10" s="12"/>
      <c r="E10" s="6"/>
      <c r="F10" s="6"/>
      <c r="G10" s="6"/>
      <c r="H10" s="6"/>
      <c r="I10" s="12"/>
      <c r="J10" s="6"/>
      <c r="K10" s="12"/>
      <c r="L10" s="6"/>
      <c r="M10" s="6"/>
      <c r="N10" s="6"/>
      <c r="P10" s="1" t="s">
        <v>30</v>
      </c>
      <c r="Q10" s="12">
        <f t="shared" si="2"/>
        <v>1.965725806451613</v>
      </c>
      <c r="R10" s="4">
        <v>1471</v>
      </c>
      <c r="S10" s="4"/>
      <c r="T10" s="4">
        <v>496</v>
      </c>
      <c r="U10" s="4"/>
      <c r="V10" s="4">
        <v>384</v>
      </c>
      <c r="W10" s="12">
        <f t="shared" si="3"/>
        <v>2.2867132867132867</v>
      </c>
      <c r="X10" s="4">
        <v>940</v>
      </c>
      <c r="Y10" s="4"/>
      <c r="Z10" s="4">
        <v>286</v>
      </c>
      <c r="AA10" s="4"/>
      <c r="AB10" s="4">
        <v>494</v>
      </c>
    </row>
    <row r="11" spans="1:28">
      <c r="A11" s="1" t="s">
        <v>4</v>
      </c>
      <c r="B11" s="12">
        <f t="shared" ref="B11:B12" si="4">(C11-E11)/E11</f>
        <v>1.8950437317784258E-2</v>
      </c>
      <c r="C11" s="6">
        <v>-13281</v>
      </c>
      <c r="D11" s="12">
        <f t="shared" ref="D11:D12" si="5">(E11-G11)/G11</f>
        <v>-4.7779076563413209E-2</v>
      </c>
      <c r="E11" s="6">
        <f>-13178+144</f>
        <v>-13034</v>
      </c>
      <c r="F11" s="6"/>
      <c r="G11" s="6">
        <f>-13028-660</f>
        <v>-13688</v>
      </c>
      <c r="H11" s="6"/>
      <c r="I11" s="12">
        <f t="shared" ref="I11:I12" si="6">(J11-L11)/L11</f>
        <v>0.65053274964896346</v>
      </c>
      <c r="J11" s="6">
        <v>-19983</v>
      </c>
      <c r="K11" s="12">
        <f t="shared" si="1"/>
        <v>9.5061505065123009E-2</v>
      </c>
      <c r="L11" s="6">
        <f>-1657-12715+2265</f>
        <v>-12107</v>
      </c>
      <c r="M11" s="6"/>
      <c r="N11" s="6">
        <f>-1482-11828+2254</f>
        <v>-11056</v>
      </c>
      <c r="P11" s="1" t="s">
        <v>58</v>
      </c>
      <c r="Q11" s="12"/>
      <c r="W11" s="12">
        <f t="shared" si="3"/>
        <v>-3.9408866995073892E-2</v>
      </c>
      <c r="X11" s="4">
        <v>975</v>
      </c>
      <c r="Z11" s="4">
        <v>1015</v>
      </c>
      <c r="AA11" s="4"/>
      <c r="AB11" s="4">
        <v>818</v>
      </c>
    </row>
    <row r="12" spans="1:28" ht="30">
      <c r="A12" s="1" t="s">
        <v>6</v>
      </c>
      <c r="B12" s="12">
        <f t="shared" si="4"/>
        <v>-3.5614525139664802E-2</v>
      </c>
      <c r="C12" s="24">
        <v>-1381</v>
      </c>
      <c r="D12" s="12">
        <f t="shared" si="5"/>
        <v>-5.6653491436100128E-2</v>
      </c>
      <c r="E12" s="24">
        <v>-1432</v>
      </c>
      <c r="F12" s="6"/>
      <c r="G12" s="24">
        <v>-1518</v>
      </c>
      <c r="H12" s="24"/>
      <c r="I12" s="12">
        <f t="shared" si="6"/>
        <v>-0.21892299949672875</v>
      </c>
      <c r="J12" s="24">
        <v>-1552</v>
      </c>
      <c r="K12" s="12">
        <f t="shared" si="1"/>
        <v>-0.21894654088050314</v>
      </c>
      <c r="L12" s="24">
        <f>278-2265</f>
        <v>-1987</v>
      </c>
      <c r="M12" s="6"/>
      <c r="N12" s="24">
        <f>-290-2254</f>
        <v>-2544</v>
      </c>
      <c r="P12" s="1" t="s">
        <v>31</v>
      </c>
      <c r="Q12" s="12">
        <f t="shared" si="2"/>
        <v>7.5178496430071393E-2</v>
      </c>
      <c r="R12" s="4">
        <v>2560</v>
      </c>
      <c r="S12" s="4"/>
      <c r="T12" s="4">
        <v>2381</v>
      </c>
      <c r="U12" s="4"/>
      <c r="V12" s="4">
        <v>2360</v>
      </c>
      <c r="W12" s="12">
        <f t="shared" si="3"/>
        <v>0.21682242990654205</v>
      </c>
      <c r="X12" s="4">
        <v>3906</v>
      </c>
      <c r="Y12" s="4"/>
      <c r="Z12" s="4">
        <v>3210</v>
      </c>
      <c r="AA12" s="4"/>
      <c r="AB12" s="4">
        <v>2465</v>
      </c>
    </row>
    <row r="13" spans="1:28">
      <c r="A13" s="1" t="s">
        <v>82</v>
      </c>
      <c r="C13" s="26">
        <v>149</v>
      </c>
      <c r="E13" s="9"/>
      <c r="G13" s="9"/>
      <c r="H13" s="28"/>
      <c r="J13" s="9"/>
      <c r="L13" s="9"/>
      <c r="N13" s="9"/>
      <c r="P13" s="1" t="s">
        <v>32</v>
      </c>
      <c r="Q13" s="12">
        <f t="shared" si="2"/>
        <v>-0.18474758324382384</v>
      </c>
      <c r="R13" s="4">
        <v>759</v>
      </c>
      <c r="S13" s="4"/>
      <c r="T13" s="4">
        <v>931</v>
      </c>
      <c r="U13" s="4"/>
      <c r="V13" s="4">
        <v>919</v>
      </c>
      <c r="W13" s="12">
        <f t="shared" si="3"/>
        <v>6.0410958904109586</v>
      </c>
      <c r="X13" s="4">
        <v>514</v>
      </c>
      <c r="Y13" s="4"/>
      <c r="Z13" s="4">
        <v>73</v>
      </c>
      <c r="AA13" s="4"/>
      <c r="AB13" s="4">
        <v>58</v>
      </c>
    </row>
    <row r="14" spans="1:28">
      <c r="A14" s="2" t="s">
        <v>7</v>
      </c>
      <c r="B14" s="12">
        <f t="shared" ref="B14:B21" si="7">(C14-E14)/E14</f>
        <v>6.5126050420168072E-2</v>
      </c>
      <c r="C14" s="6">
        <f>SUM(C9:C13)</f>
        <v>2535</v>
      </c>
      <c r="D14" s="12">
        <f t="shared" ref="D14:D21" si="8">(E14-G14)/G14</f>
        <v>0.62457337883959041</v>
      </c>
      <c r="E14" s="6">
        <f>SUM(E9:E13)</f>
        <v>2380</v>
      </c>
      <c r="F14" s="6"/>
      <c r="G14" s="6">
        <f>SUM(G9:G13)</f>
        <v>1465</v>
      </c>
      <c r="H14" s="6"/>
      <c r="I14" s="12">
        <f t="shared" ref="I14:I21" si="9">(J14-L14)/L14</f>
        <v>-3.201444317749905</v>
      </c>
      <c r="J14" s="6">
        <f>SUM(J9:J13)</f>
        <v>-5792</v>
      </c>
      <c r="K14" s="12">
        <f t="shared" ref="K14:K21" si="10">(L14-N14)/N14</f>
        <v>0.10453400503778337</v>
      </c>
      <c r="L14" s="6">
        <f>SUM(L9:L13)</f>
        <v>2631</v>
      </c>
      <c r="M14" s="6"/>
      <c r="N14" s="6">
        <f>SUM(N9:N13)</f>
        <v>2382</v>
      </c>
      <c r="P14" s="1" t="s">
        <v>33</v>
      </c>
      <c r="Q14" s="43">
        <f t="shared" si="2"/>
        <v>0.16928446771378708</v>
      </c>
      <c r="R14" s="16">
        <v>1340</v>
      </c>
      <c r="S14" s="4"/>
      <c r="T14" s="16">
        <v>1146</v>
      </c>
      <c r="U14" s="4"/>
      <c r="V14" s="16">
        <v>1125</v>
      </c>
      <c r="W14" s="43">
        <f t="shared" si="3"/>
        <v>3.342245989304813E-2</v>
      </c>
      <c r="X14" s="16">
        <v>1546</v>
      </c>
      <c r="Y14" s="4"/>
      <c r="Z14" s="16">
        <v>1496</v>
      </c>
      <c r="AA14" s="4"/>
      <c r="AB14" s="16">
        <v>1965</v>
      </c>
    </row>
    <row r="15" spans="1:28">
      <c r="A15" s="1" t="s">
        <v>83</v>
      </c>
      <c r="B15" s="12">
        <f t="shared" si="7"/>
        <v>-0.22022160664819945</v>
      </c>
      <c r="C15" s="6">
        <v>-563</v>
      </c>
      <c r="D15" s="12">
        <f t="shared" si="8"/>
        <v>-0.18233295583238959</v>
      </c>
      <c r="E15" s="6">
        <v>-722</v>
      </c>
      <c r="F15" s="6"/>
      <c r="G15" s="6">
        <v>-883</v>
      </c>
      <c r="H15" s="6"/>
      <c r="I15" s="12">
        <f t="shared" si="9"/>
        <v>0.32175925925925924</v>
      </c>
      <c r="J15" s="6">
        <v>-571</v>
      </c>
      <c r="K15" s="12">
        <f t="shared" si="10"/>
        <v>8.8161209068010074E-2</v>
      </c>
      <c r="L15" s="6">
        <v>-432</v>
      </c>
      <c r="M15" s="6"/>
      <c r="N15" s="6">
        <v>-397</v>
      </c>
      <c r="P15" s="2" t="s">
        <v>34</v>
      </c>
      <c r="Q15" s="12">
        <f t="shared" si="2"/>
        <v>0.11097560975609756</v>
      </c>
      <c r="R15" s="4">
        <f>SUM(R6:R14)</f>
        <v>28241</v>
      </c>
      <c r="S15" s="4"/>
      <c r="T15" s="4">
        <f>SUM(T6:T14)</f>
        <v>25420</v>
      </c>
      <c r="U15" s="4"/>
      <c r="V15" s="4">
        <f>SUM(V6:V14)</f>
        <v>26219</v>
      </c>
      <c r="W15" s="12">
        <f t="shared" si="3"/>
        <v>-6.7530064754856609E-2</v>
      </c>
      <c r="X15" s="4">
        <f>SUM(X6:X14)</f>
        <v>32256</v>
      </c>
      <c r="Y15" s="4"/>
      <c r="Z15" s="4">
        <f>SUM(Z6:Z14)</f>
        <v>34592</v>
      </c>
      <c r="AA15" s="4"/>
      <c r="AB15" s="4">
        <f>SUM(AB6:AB14)</f>
        <v>37033</v>
      </c>
    </row>
    <row r="16" spans="1:28" ht="30">
      <c r="A16" s="1" t="s">
        <v>9</v>
      </c>
      <c r="B16" s="12">
        <f t="shared" si="7"/>
        <v>0.23333333333333334</v>
      </c>
      <c r="C16" s="7">
        <v>37</v>
      </c>
      <c r="D16" s="12">
        <f t="shared" si="8"/>
        <v>-0.58333333333333337</v>
      </c>
      <c r="E16" s="7">
        <v>30</v>
      </c>
      <c r="F16" s="6"/>
      <c r="G16" s="7">
        <v>72</v>
      </c>
      <c r="H16" s="24"/>
      <c r="I16" s="12">
        <f t="shared" si="9"/>
        <v>-1.2166666666666666</v>
      </c>
      <c r="J16" s="7">
        <v>-13</v>
      </c>
      <c r="K16" s="12">
        <f t="shared" si="10"/>
        <v>-0.16666666666666666</v>
      </c>
      <c r="L16" s="7">
        <v>60</v>
      </c>
      <c r="M16" s="6"/>
      <c r="N16" s="7">
        <v>72</v>
      </c>
      <c r="P16" s="1" t="s">
        <v>35</v>
      </c>
      <c r="Q16" s="12">
        <f t="shared" si="2"/>
        <v>8.2781456953642391E-2</v>
      </c>
      <c r="R16" s="4">
        <v>6213</v>
      </c>
      <c r="S16" s="4"/>
      <c r="T16" s="4">
        <v>5738</v>
      </c>
      <c r="U16" s="4"/>
      <c r="V16" s="4">
        <v>5658</v>
      </c>
      <c r="W16" s="12">
        <f t="shared" si="3"/>
        <v>-0.17309843400447428</v>
      </c>
      <c r="X16" s="4">
        <v>2957</v>
      </c>
      <c r="Y16" s="4"/>
      <c r="Z16" s="4">
        <v>3576</v>
      </c>
      <c r="AA16" s="4"/>
      <c r="AB16" s="4">
        <v>3744</v>
      </c>
    </row>
    <row r="17" spans="1:28">
      <c r="A17" s="2" t="s">
        <v>10</v>
      </c>
      <c r="B17" s="12">
        <f t="shared" si="7"/>
        <v>0.19016587677725119</v>
      </c>
      <c r="C17" s="6">
        <f>SUM(C14:C16)</f>
        <v>2009</v>
      </c>
      <c r="D17" s="12">
        <f t="shared" si="8"/>
        <v>1.581039755351682</v>
      </c>
      <c r="E17" s="6">
        <f>SUM(E14:E16)</f>
        <v>1688</v>
      </c>
      <c r="F17" s="6"/>
      <c r="G17" s="6">
        <f>SUM(G14:G16)</f>
        <v>654</v>
      </c>
      <c r="H17" s="6"/>
      <c r="I17" s="12">
        <f t="shared" si="9"/>
        <v>-3.8224878264718902</v>
      </c>
      <c r="J17" s="6">
        <f>SUM(J14:J16)</f>
        <v>-6376</v>
      </c>
      <c r="K17" s="12">
        <f t="shared" si="10"/>
        <v>9.8201263976665051E-2</v>
      </c>
      <c r="L17" s="6">
        <f>SUM(L14:L16)</f>
        <v>2259</v>
      </c>
      <c r="M17" s="6"/>
      <c r="N17" s="6">
        <f>SUM(N14:N16)</f>
        <v>2057</v>
      </c>
      <c r="P17" s="1" t="s">
        <v>36</v>
      </c>
      <c r="Q17" s="12">
        <f t="shared" si="2"/>
        <v>2.1238138273836422E-2</v>
      </c>
      <c r="R17" s="4">
        <v>2260</v>
      </c>
      <c r="S17" s="4"/>
      <c r="T17" s="4">
        <v>2213</v>
      </c>
      <c r="U17" s="4"/>
      <c r="V17" s="4">
        <v>2144</v>
      </c>
      <c r="W17" s="12">
        <f t="shared" si="3"/>
        <v>-3.1506849315068496E-2</v>
      </c>
      <c r="X17" s="4">
        <v>2121</v>
      </c>
      <c r="Y17" s="4"/>
      <c r="Z17" s="4">
        <v>2190</v>
      </c>
      <c r="AA17" s="4"/>
      <c r="AB17" s="4">
        <v>2525</v>
      </c>
    </row>
    <row r="18" spans="1:28">
      <c r="A18" s="1" t="s">
        <v>11</v>
      </c>
      <c r="B18" s="12">
        <f t="shared" si="7"/>
        <v>0.12361331220285261</v>
      </c>
      <c r="C18" s="7">
        <v>-709</v>
      </c>
      <c r="D18" s="12">
        <f t="shared" si="8"/>
        <v>0.66052631578947374</v>
      </c>
      <c r="E18" s="7">
        <v>-631</v>
      </c>
      <c r="F18" s="6"/>
      <c r="G18" s="7">
        <v>-380</v>
      </c>
      <c r="H18" s="24"/>
      <c r="I18" s="12">
        <f t="shared" si="9"/>
        <v>-2.8933717579250722</v>
      </c>
      <c r="J18" s="7">
        <v>657</v>
      </c>
      <c r="K18" s="12">
        <f t="shared" si="10"/>
        <v>-0.34404536862003782</v>
      </c>
      <c r="L18" s="7">
        <v>-347</v>
      </c>
      <c r="M18" s="6"/>
      <c r="N18" s="7">
        <v>-529</v>
      </c>
      <c r="P18" s="1" t="s">
        <v>31</v>
      </c>
      <c r="Q18" s="12">
        <f t="shared" si="2"/>
        <v>6.1782055262340888E-2</v>
      </c>
      <c r="R18" s="4">
        <v>3420</v>
      </c>
      <c r="S18" s="4"/>
      <c r="T18" s="4">
        <v>3221</v>
      </c>
      <c r="U18" s="4"/>
      <c r="V18" s="4">
        <v>3286</v>
      </c>
      <c r="W18" s="12">
        <f t="shared" si="3"/>
        <v>2.941970310391363E-2</v>
      </c>
      <c r="X18" s="4">
        <v>3814</v>
      </c>
      <c r="Y18" s="4"/>
      <c r="Z18" s="4">
        <v>3705</v>
      </c>
      <c r="AA18" s="4"/>
      <c r="AB18" s="4">
        <v>3094</v>
      </c>
    </row>
    <row r="19" spans="1:28">
      <c r="A19" s="2" t="s">
        <v>12</v>
      </c>
      <c r="B19" s="12">
        <f t="shared" si="7"/>
        <v>0.22989593188268684</v>
      </c>
      <c r="C19" s="6">
        <f>SUM(C17:C18)</f>
        <v>1300</v>
      </c>
      <c r="D19" s="12">
        <f t="shared" si="8"/>
        <v>2.8576642335766422</v>
      </c>
      <c r="E19" s="6">
        <f>SUM(E17:E18)</f>
        <v>1057</v>
      </c>
      <c r="F19" s="6"/>
      <c r="G19" s="6">
        <f>SUM(G17:G18)</f>
        <v>274</v>
      </c>
      <c r="H19" s="6"/>
      <c r="I19" s="12">
        <f t="shared" si="9"/>
        <v>-3.9911087866108788</v>
      </c>
      <c r="J19" s="6">
        <f>SUM(J17:J18)</f>
        <v>-5719</v>
      </c>
      <c r="K19" s="12">
        <f t="shared" si="10"/>
        <v>0.2513089005235602</v>
      </c>
      <c r="L19" s="6">
        <f>SUM(L17:L18)</f>
        <v>1912</v>
      </c>
      <c r="M19" s="6"/>
      <c r="N19" s="6">
        <f>SUM(N17:N18)</f>
        <v>1528</v>
      </c>
      <c r="P19" s="1" t="s">
        <v>37</v>
      </c>
      <c r="Q19" s="12">
        <f t="shared" si="2"/>
        <v>0.3018276762402089</v>
      </c>
      <c r="R19" s="4">
        <v>2493</v>
      </c>
      <c r="S19" s="4"/>
      <c r="T19" s="4">
        <f>359+715+841</f>
        <v>1915</v>
      </c>
      <c r="U19" s="4"/>
      <c r="V19">
        <f>352+520+789</f>
        <v>1661</v>
      </c>
      <c r="W19" s="12">
        <f t="shared" si="3"/>
        <v>0.83695652173913049</v>
      </c>
      <c r="X19" s="4">
        <v>169</v>
      </c>
      <c r="Y19" s="4"/>
      <c r="Z19" s="4">
        <f>80+12</f>
        <v>92</v>
      </c>
      <c r="AA19" s="4"/>
      <c r="AB19" s="4">
        <f>58+10</f>
        <v>68</v>
      </c>
    </row>
    <row r="20" spans="1:28">
      <c r="A20" s="1" t="s">
        <v>13</v>
      </c>
      <c r="B20" s="12">
        <f t="shared" si="7"/>
        <v>-0.78104575163398693</v>
      </c>
      <c r="C20" s="6">
        <v>67</v>
      </c>
      <c r="D20" s="12">
        <f t="shared" si="8"/>
        <v>-0.71375116931711879</v>
      </c>
      <c r="E20" s="6">
        <v>306</v>
      </c>
      <c r="F20" s="6"/>
      <c r="G20" s="6">
        <v>1069</v>
      </c>
      <c r="H20" s="6"/>
      <c r="I20" s="12">
        <f t="shared" si="9"/>
        <v>-0.95010615711252655</v>
      </c>
      <c r="J20" s="6">
        <v>-47</v>
      </c>
      <c r="K20" s="12">
        <f t="shared" si="10"/>
        <v>-0.37367021276595747</v>
      </c>
      <c r="L20" s="6">
        <v>-942</v>
      </c>
      <c r="M20" s="6"/>
      <c r="N20" s="6">
        <v>-1504</v>
      </c>
      <c r="P20" s="1" t="s">
        <v>59</v>
      </c>
      <c r="Q20" s="12"/>
      <c r="W20" s="12">
        <f t="shared" si="3"/>
        <v>-0.41633858267716534</v>
      </c>
      <c r="X20" s="4">
        <v>593</v>
      </c>
      <c r="Z20" s="4">
        <v>1016</v>
      </c>
      <c r="AA20" s="4"/>
      <c r="AB20" s="4">
        <v>522</v>
      </c>
    </row>
    <row r="21" spans="1:28">
      <c r="A21" s="2" t="s">
        <v>14</v>
      </c>
      <c r="B21" s="12">
        <f t="shared" si="7"/>
        <v>2.93470286133529E-3</v>
      </c>
      <c r="C21" s="8">
        <f>SUM(C19:C20)</f>
        <v>1367</v>
      </c>
      <c r="D21" s="12">
        <f t="shared" si="8"/>
        <v>1.4892032762472078E-2</v>
      </c>
      <c r="E21" s="8">
        <f>SUM(E19:E20)</f>
        <v>1363</v>
      </c>
      <c r="F21" s="6"/>
      <c r="G21" s="8">
        <f>SUM(G19:G20)</f>
        <v>1343</v>
      </c>
      <c r="H21" s="24"/>
      <c r="I21" s="12">
        <f t="shared" si="9"/>
        <v>-6.9443298969072167</v>
      </c>
      <c r="J21" s="8">
        <f>SUM(J19:J20)</f>
        <v>-5766</v>
      </c>
      <c r="K21" s="12">
        <f t="shared" si="10"/>
        <v>39.416666666666664</v>
      </c>
      <c r="L21" s="8">
        <f>SUM(L19:L20)</f>
        <v>970</v>
      </c>
      <c r="M21" s="6"/>
      <c r="N21" s="8">
        <f>SUM(N19:N20)</f>
        <v>24</v>
      </c>
      <c r="P21" s="1" t="s">
        <v>38</v>
      </c>
      <c r="Q21" s="12">
        <f t="shared" si="2"/>
        <v>-0.34559596384275804</v>
      </c>
      <c r="R21" s="4">
        <v>3113</v>
      </c>
      <c r="S21" s="4"/>
      <c r="T21" s="4">
        <v>4757</v>
      </c>
      <c r="U21" s="4"/>
      <c r="V21" s="4">
        <v>6573</v>
      </c>
      <c r="W21" s="12">
        <f t="shared" si="3"/>
        <v>-0.13607342378292098</v>
      </c>
      <c r="X21" s="4">
        <v>2165</v>
      </c>
      <c r="Y21" s="4"/>
      <c r="Z21" s="4">
        <v>2506</v>
      </c>
      <c r="AA21" s="4"/>
      <c r="AB21" s="4">
        <v>2512</v>
      </c>
    </row>
    <row r="22" spans="1:28">
      <c r="A22" s="1" t="s">
        <v>76</v>
      </c>
      <c r="B22" s="5"/>
      <c r="C22" s="5">
        <v>1249</v>
      </c>
      <c r="D22" s="5"/>
      <c r="E22" s="5">
        <v>1263</v>
      </c>
      <c r="F22" s="5"/>
      <c r="G22" s="5">
        <v>1259</v>
      </c>
      <c r="H22" s="5"/>
      <c r="I22" s="11"/>
      <c r="J22" s="5">
        <v>-5741</v>
      </c>
      <c r="L22" s="5">
        <v>974</v>
      </c>
      <c r="M22" s="5"/>
      <c r="N22" s="5">
        <v>28</v>
      </c>
      <c r="P22" s="1" t="s">
        <v>39</v>
      </c>
      <c r="Q22" s="43">
        <f t="shared" si="2"/>
        <v>-0.83774834437086088</v>
      </c>
      <c r="R22" s="16">
        <v>49</v>
      </c>
      <c r="S22" s="4"/>
      <c r="T22" s="16">
        <v>302</v>
      </c>
      <c r="U22" s="4"/>
      <c r="V22" s="16">
        <v>465</v>
      </c>
      <c r="W22" s="43">
        <f t="shared" si="3"/>
        <v>-0.94410936871733009</v>
      </c>
      <c r="X22" s="16">
        <v>139</v>
      </c>
      <c r="Y22" s="4"/>
      <c r="Z22" s="16">
        <v>2487</v>
      </c>
      <c r="AA22" s="4"/>
      <c r="AB22" s="16">
        <v>631</v>
      </c>
    </row>
    <row r="23" spans="1:28">
      <c r="A23" s="1" t="s">
        <v>77</v>
      </c>
      <c r="B23"/>
      <c r="C23" s="5">
        <v>118</v>
      </c>
      <c r="E23" s="5">
        <v>101</v>
      </c>
      <c r="G23" s="5">
        <v>83</v>
      </c>
      <c r="H23" s="5"/>
      <c r="I23" s="11"/>
      <c r="J23" s="5">
        <v>-25</v>
      </c>
      <c r="L23" s="5">
        <v>-4</v>
      </c>
      <c r="N23" s="5">
        <v>-4</v>
      </c>
      <c r="P23" s="2" t="s">
        <v>40</v>
      </c>
      <c r="Q23" s="48">
        <f t="shared" si="2"/>
        <v>-3.2954921194753663E-2</v>
      </c>
      <c r="R23" s="4">
        <f>SUM(R16:R22)</f>
        <v>17548</v>
      </c>
      <c r="S23" s="4"/>
      <c r="T23" s="4">
        <f>SUM(T16:T22)</f>
        <v>18146</v>
      </c>
      <c r="U23" s="4"/>
      <c r="V23" s="4">
        <f>SUM(V16:V22)</f>
        <v>19787</v>
      </c>
      <c r="W23" s="43">
        <f t="shared" si="3"/>
        <v>-0.23208322630362188</v>
      </c>
      <c r="X23" s="4">
        <f>SUM(X16:X22)</f>
        <v>11958</v>
      </c>
      <c r="Y23" s="4"/>
      <c r="Z23" s="4">
        <f>SUM(Z16:Z22)</f>
        <v>15572</v>
      </c>
      <c r="AA23" s="4"/>
      <c r="AB23" s="4">
        <f>SUM(AB16:AB22)</f>
        <v>13096</v>
      </c>
    </row>
    <row r="24" spans="1:28">
      <c r="B24"/>
      <c r="C24" s="23">
        <f>SUM(C22:C23)</f>
        <v>1367</v>
      </c>
      <c r="E24" s="23">
        <f>SUM(E22:E23)</f>
        <v>1364</v>
      </c>
      <c r="G24" s="23">
        <f>SUM(G22:G23)</f>
        <v>1342</v>
      </c>
      <c r="H24" s="25"/>
      <c r="I24" s="11"/>
      <c r="J24" s="23">
        <f>SUM(J22:J23)</f>
        <v>-5766</v>
      </c>
      <c r="L24" s="23">
        <f>SUM(L22:L23)</f>
        <v>970</v>
      </c>
      <c r="N24" s="23">
        <f>SUM(N22:N23)</f>
        <v>24</v>
      </c>
      <c r="P24" s="3" t="s">
        <v>41</v>
      </c>
      <c r="Q24" s="43">
        <f t="shared" si="2"/>
        <v>5.1026029472524444E-2</v>
      </c>
      <c r="R24" s="17">
        <f>R15+R23</f>
        <v>45789</v>
      </c>
      <c r="S24" s="4"/>
      <c r="T24" s="17">
        <f>T15+T23</f>
        <v>43566</v>
      </c>
      <c r="U24" s="4"/>
      <c r="V24" s="17">
        <f>V15+V23</f>
        <v>46006</v>
      </c>
      <c r="W24" s="43">
        <f t="shared" si="3"/>
        <v>-0.11861095606410972</v>
      </c>
      <c r="X24" s="17">
        <f>X15+X23</f>
        <v>44214</v>
      </c>
      <c r="Y24" s="4"/>
      <c r="Z24" s="17">
        <f>Z15+Z23</f>
        <v>50164</v>
      </c>
      <c r="AA24" s="4"/>
      <c r="AB24" s="17">
        <f>AB15+AB23</f>
        <v>50129</v>
      </c>
    </row>
    <row r="25" spans="1:28">
      <c r="P25" s="3" t="s">
        <v>43</v>
      </c>
      <c r="R25" s="4"/>
      <c r="S25" s="4"/>
      <c r="T25" s="4"/>
      <c r="U25" s="4"/>
      <c r="V25" s="4"/>
      <c r="X25" s="4"/>
      <c r="Y25" s="4"/>
      <c r="Z25" s="4"/>
      <c r="AA25" s="4"/>
      <c r="AB25" s="4"/>
    </row>
    <row r="26" spans="1:28">
      <c r="A26" s="41" t="s">
        <v>15</v>
      </c>
      <c r="B26" s="30"/>
      <c r="C26" s="32"/>
      <c r="D26" s="30"/>
      <c r="E26" s="32"/>
      <c r="F26" s="32"/>
      <c r="G26" s="32"/>
      <c r="H26" s="32"/>
      <c r="I26" s="33"/>
      <c r="J26" s="32"/>
      <c r="K26" s="33"/>
      <c r="L26" s="32"/>
      <c r="M26" s="32"/>
      <c r="N26" s="32"/>
      <c r="P26" s="1" t="s">
        <v>44</v>
      </c>
      <c r="Q26" s="12">
        <f t="shared" ref="Q26:Q34" si="11">(R26-T26)/T26</f>
        <v>4.3969102792632206E-2</v>
      </c>
      <c r="R26" s="4">
        <v>1757</v>
      </c>
      <c r="S26" s="4"/>
      <c r="T26" s="4">
        <v>1683</v>
      </c>
      <c r="U26" s="4"/>
      <c r="V26" s="4">
        <v>2263</v>
      </c>
      <c r="W26" s="12">
        <f t="shared" ref="W26:W34" si="12">(X26-Z26)/Z26</f>
        <v>5.1308900523560207E-2</v>
      </c>
      <c r="X26" s="4">
        <v>2008</v>
      </c>
      <c r="Y26" s="4"/>
      <c r="Z26" s="4">
        <v>1910</v>
      </c>
      <c r="AA26" s="4"/>
      <c r="AB26" s="4">
        <v>766</v>
      </c>
    </row>
    <row r="27" spans="1:28">
      <c r="A27" s="42" t="s">
        <v>19</v>
      </c>
      <c r="B27" s="30"/>
      <c r="C27" s="31">
        <f>C14/(R42+R33)</f>
        <v>0.14875014669639713</v>
      </c>
      <c r="D27" s="30"/>
      <c r="E27" s="31">
        <f>E14/(T42+T33)</f>
        <v>0.14738667327223184</v>
      </c>
      <c r="F27" s="32"/>
      <c r="G27" s="31">
        <f>G14/(V42+V33)</f>
        <v>8.6024662360540224E-2</v>
      </c>
      <c r="H27" s="31"/>
      <c r="I27" s="33"/>
      <c r="J27" s="31">
        <f>J14/(X42+X33)</f>
        <v>-0.32682541473874283</v>
      </c>
      <c r="K27" s="33"/>
      <c r="L27" s="31">
        <f>L14/(Z42+Z33)</f>
        <v>0.10611010284331518</v>
      </c>
      <c r="M27" s="32"/>
      <c r="N27" s="31">
        <f>N14/(AB42+AB33)</f>
        <v>8.6655995343422582E-2</v>
      </c>
      <c r="P27" s="1" t="s">
        <v>45</v>
      </c>
      <c r="Q27" s="12">
        <f t="shared" si="11"/>
        <v>4.1232301229189354E-2</v>
      </c>
      <c r="R27" s="4">
        <v>13384</v>
      </c>
      <c r="S27" s="4"/>
      <c r="T27" s="4">
        <v>12854</v>
      </c>
      <c r="U27" s="4"/>
      <c r="V27" s="4">
        <v>12925</v>
      </c>
      <c r="W27" s="12">
        <f t="shared" si="12"/>
        <v>-6.3520528551203395E-2</v>
      </c>
      <c r="X27" s="4">
        <v>9922</v>
      </c>
      <c r="Y27" s="4"/>
      <c r="Z27" s="4">
        <v>10595</v>
      </c>
      <c r="AA27" s="4"/>
      <c r="AB27" s="4">
        <v>11094</v>
      </c>
    </row>
    <row r="28" spans="1:28">
      <c r="A28" s="42" t="s">
        <v>16</v>
      </c>
      <c r="B28" s="30"/>
      <c r="C28" s="31">
        <f>C21/R42</f>
        <v>0.13366578664319936</v>
      </c>
      <c r="D28" s="30"/>
      <c r="E28" s="31">
        <f>E21/T42</f>
        <v>0.15852523842754129</v>
      </c>
      <c r="F28" s="32"/>
      <c r="G28" s="31">
        <f>G21/V42</f>
        <v>0.16689449484279856</v>
      </c>
      <c r="H28" s="31"/>
      <c r="I28" s="33"/>
      <c r="J28" s="31">
        <f>J21/X42</f>
        <v>-0.81544336020364871</v>
      </c>
      <c r="K28" s="33"/>
      <c r="L28" s="31">
        <f>L21/Z42</f>
        <v>6.5887786985463936E-2</v>
      </c>
      <c r="M28" s="32"/>
      <c r="N28" s="31">
        <f>N21/AB42</f>
        <v>1.440489766520617E-3</v>
      </c>
      <c r="P28" s="1" t="s">
        <v>46</v>
      </c>
      <c r="Q28" s="12">
        <f t="shared" si="11"/>
        <v>0.18219395866454691</v>
      </c>
      <c r="R28" s="4">
        <v>3718</v>
      </c>
      <c r="S28" s="4"/>
      <c r="T28" s="4">
        <v>3145</v>
      </c>
      <c r="U28" s="4"/>
      <c r="V28" s="4">
        <v>3032</v>
      </c>
      <c r="W28" s="12">
        <f t="shared" si="12"/>
        <v>2.3622047244094488E-2</v>
      </c>
      <c r="X28" s="4">
        <v>7020</v>
      </c>
      <c r="Y28" s="4"/>
      <c r="Z28" s="4">
        <v>6858</v>
      </c>
      <c r="AA28" s="4"/>
      <c r="AB28" s="4">
        <v>6015</v>
      </c>
    </row>
    <row r="29" spans="1:28">
      <c r="A29" s="42" t="s">
        <v>17</v>
      </c>
      <c r="B29" s="30"/>
      <c r="C29" s="31">
        <f>C9/C5</f>
        <v>0.23007679123311336</v>
      </c>
      <c r="D29" s="30"/>
      <c r="E29" s="31">
        <f>E9/E5</f>
        <v>0.22673252668272789</v>
      </c>
      <c r="F29" s="32"/>
      <c r="G29" s="31">
        <f>G9/G5</f>
        <v>0.22221777902187387</v>
      </c>
      <c r="H29" s="31"/>
      <c r="I29" s="33"/>
      <c r="J29" s="31">
        <f>J9/J5</f>
        <v>0.25276154389570354</v>
      </c>
      <c r="K29" s="33"/>
      <c r="L29" s="31">
        <f>L9/L5</f>
        <v>0.26314961373255502</v>
      </c>
      <c r="M29" s="32"/>
      <c r="N29" s="31">
        <f>N9/N5</f>
        <v>0.25205816484244392</v>
      </c>
      <c r="P29" s="1" t="s">
        <v>11</v>
      </c>
      <c r="Q29" s="12">
        <f t="shared" si="11"/>
        <v>0.12153110047846891</v>
      </c>
      <c r="R29" s="4">
        <v>1172</v>
      </c>
      <c r="S29" s="4"/>
      <c r="T29" s="4">
        <v>1045</v>
      </c>
      <c r="U29" s="4"/>
      <c r="V29" s="4">
        <v>1040</v>
      </c>
      <c r="W29" s="12">
        <f t="shared" si="12"/>
        <v>-0.80769230769230771</v>
      </c>
      <c r="X29" s="4">
        <v>95</v>
      </c>
      <c r="Y29" s="4"/>
      <c r="Z29" s="4">
        <v>494</v>
      </c>
      <c r="AA29" s="4"/>
      <c r="AB29" s="4">
        <v>519</v>
      </c>
    </row>
    <row r="30" spans="1:28">
      <c r="A30" s="42" t="s">
        <v>20</v>
      </c>
      <c r="B30" s="30"/>
      <c r="C30" s="31">
        <f>C14/C7</f>
        <v>3.3216279252600962E-2</v>
      </c>
      <c r="D30" s="30"/>
      <c r="E30" s="31">
        <f>E14/E7</f>
        <v>3.1040509168688214E-2</v>
      </c>
      <c r="F30" s="32"/>
      <c r="G30" s="31">
        <f>G14/G7</f>
        <v>1.894478210267684E-2</v>
      </c>
      <c r="H30" s="31"/>
      <c r="I30" s="33"/>
      <c r="J30" s="31">
        <f>J14/J7</f>
        <v>-9.2993385139040527E-2</v>
      </c>
      <c r="K30" s="33"/>
      <c r="L30" s="31">
        <f>L14/L7</f>
        <v>4.1395912330663816E-2</v>
      </c>
      <c r="M30" s="32"/>
      <c r="N30" s="31">
        <f>N14/N7</f>
        <v>3.7567422641390402E-2</v>
      </c>
      <c r="P30" s="1" t="s">
        <v>33</v>
      </c>
      <c r="Q30" s="12">
        <f t="shared" si="11"/>
        <v>9.3738689829895042E-2</v>
      </c>
      <c r="R30" s="4">
        <v>3022</v>
      </c>
      <c r="S30" s="4"/>
      <c r="T30" s="4">
        <v>2763</v>
      </c>
      <c r="U30" s="4"/>
      <c r="V30" s="4">
        <v>2422</v>
      </c>
      <c r="W30" s="12">
        <f t="shared" si="12"/>
        <v>1.177650429799427</v>
      </c>
      <c r="X30" s="4">
        <v>760</v>
      </c>
      <c r="Y30" s="4"/>
      <c r="Z30" s="4">
        <f>250+99</f>
        <v>349</v>
      </c>
      <c r="AA30" s="4"/>
      <c r="AB30" s="4">
        <f>188+121</f>
        <v>309</v>
      </c>
    </row>
    <row r="31" spans="1:28">
      <c r="A31" s="42" t="s">
        <v>18</v>
      </c>
      <c r="B31" s="30"/>
      <c r="C31" s="31">
        <f>C21/C7</f>
        <v>1.7911894965800989E-2</v>
      </c>
      <c r="D31" s="30"/>
      <c r="E31" s="31">
        <f>E21/E7</f>
        <v>1.7776560502908417E-2</v>
      </c>
      <c r="F31" s="32"/>
      <c r="G31" s="31">
        <f>G21/G7</f>
        <v>1.7367127893443683E-2</v>
      </c>
      <c r="H31" s="31"/>
      <c r="I31" s="33"/>
      <c r="J31" s="31">
        <f>J21/J7</f>
        <v>-9.2575942457131855E-2</v>
      </c>
      <c r="K31" s="33"/>
      <c r="L31" s="31">
        <f>L21/L7</f>
        <v>1.526189090108092E-2</v>
      </c>
      <c r="M31" s="32"/>
      <c r="N31" s="31">
        <f>N21/N7</f>
        <v>3.7851307447244739E-4</v>
      </c>
      <c r="P31" s="1" t="s">
        <v>48</v>
      </c>
      <c r="Q31" s="43">
        <f t="shared" si="11"/>
        <v>-0.95833333333333337</v>
      </c>
      <c r="R31" s="16">
        <v>1</v>
      </c>
      <c r="S31" s="4"/>
      <c r="T31" s="16">
        <v>24</v>
      </c>
      <c r="U31" s="4"/>
      <c r="V31" s="16">
        <v>273</v>
      </c>
      <c r="W31" s="43">
        <f t="shared" si="12"/>
        <v>-0.99580888516345345</v>
      </c>
      <c r="X31" s="16">
        <v>5</v>
      </c>
      <c r="Y31" s="4"/>
      <c r="Z31" s="16">
        <v>1193</v>
      </c>
      <c r="AA31" s="4"/>
      <c r="AB31" s="16">
        <v>282</v>
      </c>
    </row>
    <row r="32" spans="1:28">
      <c r="A32" s="42"/>
      <c r="B32" s="32"/>
      <c r="C32" s="32"/>
      <c r="D32" s="32"/>
      <c r="E32" s="32"/>
      <c r="F32" s="32"/>
      <c r="G32" s="32"/>
      <c r="H32" s="32"/>
      <c r="I32" s="33"/>
      <c r="J32" s="32"/>
      <c r="K32" s="33"/>
      <c r="L32" s="32"/>
      <c r="M32" s="32"/>
      <c r="N32" s="32"/>
      <c r="P32" s="2" t="s">
        <v>47</v>
      </c>
      <c r="Q32" s="12">
        <f t="shared" si="11"/>
        <v>7.1581295900343955E-2</v>
      </c>
      <c r="R32" s="4">
        <f>SUM(R26:R31)</f>
        <v>23054</v>
      </c>
      <c r="S32" s="4"/>
      <c r="T32" s="4">
        <f>SUM(T26:T31)</f>
        <v>21514</v>
      </c>
      <c r="U32" s="4"/>
      <c r="V32" s="4">
        <f>SUM(V26:V31)</f>
        <v>21955</v>
      </c>
      <c r="W32" s="12">
        <f t="shared" si="12"/>
        <v>-7.4255806346090941E-2</v>
      </c>
      <c r="X32" s="4">
        <f>SUM(X26:X31)</f>
        <v>19810</v>
      </c>
      <c r="Y32" s="4"/>
      <c r="Z32" s="4">
        <f>SUM(Z26:Z31)</f>
        <v>21399</v>
      </c>
      <c r="AA32" s="4"/>
      <c r="AB32" s="4">
        <f>SUM(AB26:AB31)</f>
        <v>18985</v>
      </c>
    </row>
    <row r="33" spans="1:28">
      <c r="A33" s="41" t="s">
        <v>60</v>
      </c>
      <c r="B33" s="32"/>
      <c r="C33" s="32"/>
      <c r="D33" s="32"/>
      <c r="E33" s="32"/>
      <c r="F33" s="32"/>
      <c r="G33" s="32"/>
      <c r="H33" s="32"/>
      <c r="I33" s="33"/>
      <c r="J33" s="32"/>
      <c r="K33" s="33"/>
      <c r="L33" s="32"/>
      <c r="M33" s="32"/>
      <c r="N33" s="32"/>
      <c r="P33" s="1" t="s">
        <v>49</v>
      </c>
      <c r="Q33" s="12">
        <f t="shared" si="11"/>
        <v>-9.7350993377483444E-2</v>
      </c>
      <c r="R33" s="4">
        <v>6815</v>
      </c>
      <c r="S33" s="4"/>
      <c r="T33" s="4">
        <v>7550</v>
      </c>
      <c r="U33" s="4"/>
      <c r="V33" s="4">
        <v>8983</v>
      </c>
      <c r="W33" s="12">
        <f t="shared" si="12"/>
        <v>5.738111783976968E-2</v>
      </c>
      <c r="X33" s="4">
        <v>10651</v>
      </c>
      <c r="Y33" s="4"/>
      <c r="Z33" s="4">
        <f>9303+770</f>
        <v>10073</v>
      </c>
      <c r="AA33" s="4"/>
      <c r="AB33" s="4">
        <f>10068+759</f>
        <v>10827</v>
      </c>
    </row>
    <row r="34" spans="1:28">
      <c r="A34" s="42" t="s">
        <v>61</v>
      </c>
      <c r="B34" s="32"/>
      <c r="C34" s="34">
        <f>R23/R32</f>
        <v>0.76116942829877676</v>
      </c>
      <c r="D34" s="32"/>
      <c r="E34" s="34">
        <f>T23/T32</f>
        <v>0.84345077623872822</v>
      </c>
      <c r="F34" s="34"/>
      <c r="G34" s="34">
        <f>V23/V32</f>
        <v>0.90125256205875659</v>
      </c>
      <c r="H34" s="34"/>
      <c r="I34" s="35"/>
      <c r="J34" s="34">
        <f>X23/X32</f>
        <v>0.60363452801615347</v>
      </c>
      <c r="K34" s="35"/>
      <c r="L34" s="34">
        <f>Z23/Z32</f>
        <v>0.72769755596055885</v>
      </c>
      <c r="M34" s="34"/>
      <c r="N34" s="34">
        <f>AB23/AB32</f>
        <v>0.6898077429549645</v>
      </c>
      <c r="P34" s="1" t="s">
        <v>50</v>
      </c>
      <c r="Q34" s="12">
        <f t="shared" si="11"/>
        <v>-1.0226644555002764E-2</v>
      </c>
      <c r="R34" s="4">
        <v>3581</v>
      </c>
      <c r="S34" s="4"/>
      <c r="T34" s="4">
        <v>3618</v>
      </c>
      <c r="U34" s="4"/>
      <c r="V34" s="4">
        <v>4475</v>
      </c>
      <c r="W34" s="12">
        <f t="shared" si="12"/>
        <v>0.64010663507109</v>
      </c>
      <c r="X34" s="4">
        <v>5537</v>
      </c>
      <c r="Y34" s="4"/>
      <c r="Z34" s="4">
        <f>3193+183</f>
        <v>3376</v>
      </c>
      <c r="AA34" s="4"/>
      <c r="AB34" s="4">
        <f>2378+272</f>
        <v>2650</v>
      </c>
    </row>
    <row r="35" spans="1:28">
      <c r="A35" s="42" t="s">
        <v>62</v>
      </c>
      <c r="B35" s="32"/>
      <c r="C35" s="34">
        <f>(R23-R16)/R32</f>
        <v>0.49167172724906738</v>
      </c>
      <c r="D35" s="32"/>
      <c r="E35" s="34">
        <f>(T23-T16)/T32</f>
        <v>0.57674072696848566</v>
      </c>
      <c r="F35" s="34"/>
      <c r="G35" s="34">
        <f>(V23-V16)/V32</f>
        <v>0.64354361193350029</v>
      </c>
      <c r="H35" s="34"/>
      <c r="I35" s="35"/>
      <c r="J35" s="34">
        <f>(X23-X16)/X32</f>
        <v>0.45436648157496212</v>
      </c>
      <c r="K35" s="35"/>
      <c r="L35" s="34">
        <f>(Z23-Z16)/Z32</f>
        <v>0.56058694331510817</v>
      </c>
      <c r="M35" s="34"/>
      <c r="N35" s="34">
        <f>(AB23-AB16)/AB32</f>
        <v>0.49259942059520673</v>
      </c>
      <c r="P35" s="1" t="s">
        <v>46</v>
      </c>
      <c r="Q35" s="46"/>
      <c r="R35" s="4">
        <v>1589</v>
      </c>
      <c r="S35" s="4"/>
      <c r="T35" s="4">
        <v>1765</v>
      </c>
      <c r="U35" s="4"/>
      <c r="V35" s="4">
        <v>1966</v>
      </c>
      <c r="W35" s="46"/>
      <c r="X35" s="4"/>
      <c r="Y35" s="4"/>
      <c r="Z35" s="4"/>
      <c r="AA35" s="4"/>
      <c r="AB35" s="4"/>
    </row>
    <row r="36" spans="1:28">
      <c r="A36" s="42"/>
      <c r="B36" s="32"/>
      <c r="C36" s="32"/>
      <c r="D36" s="32"/>
      <c r="E36" s="32"/>
      <c r="F36" s="32"/>
      <c r="G36" s="32"/>
      <c r="H36" s="32"/>
      <c r="I36" s="33"/>
      <c r="J36" s="32"/>
      <c r="K36" s="33"/>
      <c r="L36" s="32"/>
      <c r="M36" s="32"/>
      <c r="N36" s="32"/>
      <c r="P36" s="1" t="s">
        <v>33</v>
      </c>
      <c r="Q36" s="43">
        <f t="shared" ref="Q36:Q43" si="13">(R36-T36)/T36</f>
        <v>3.838771593090211E-3</v>
      </c>
      <c r="R36" s="16">
        <v>523</v>
      </c>
      <c r="S36" s="4"/>
      <c r="T36" s="16">
        <v>521</v>
      </c>
      <c r="U36" s="4"/>
      <c r="V36" s="16">
        <v>580</v>
      </c>
      <c r="W36" s="43">
        <f t="shared" ref="W36:W43" si="14">(X36-Z36)/Z36</f>
        <v>0.92760942760942766</v>
      </c>
      <c r="X36" s="16">
        <v>1145</v>
      </c>
      <c r="Y36" s="4"/>
      <c r="Z36" s="16">
        <v>594</v>
      </c>
      <c r="AB36" s="16">
        <v>1006</v>
      </c>
    </row>
    <row r="37" spans="1:28">
      <c r="A37" s="41" t="s">
        <v>63</v>
      </c>
      <c r="B37" s="32"/>
      <c r="C37" s="32"/>
      <c r="D37" s="32"/>
      <c r="E37" s="32"/>
      <c r="F37" s="32"/>
      <c r="G37" s="32"/>
      <c r="H37" s="32"/>
      <c r="I37" s="33"/>
      <c r="J37" s="32"/>
      <c r="K37" s="33"/>
      <c r="L37" s="32"/>
      <c r="M37" s="32"/>
      <c r="N37" s="32"/>
      <c r="P37" s="2" t="s">
        <v>51</v>
      </c>
      <c r="Q37" s="12">
        <f t="shared" si="13"/>
        <v>-7.0313661364649921E-2</v>
      </c>
      <c r="R37" s="4">
        <f>SUM(R33:R36)</f>
        <v>12508</v>
      </c>
      <c r="S37" s="4"/>
      <c r="T37" s="4">
        <f>SUM(T33:T36)</f>
        <v>13454</v>
      </c>
      <c r="U37" s="4"/>
      <c r="V37" s="4">
        <f>SUM(V33:V36)</f>
        <v>16004</v>
      </c>
      <c r="W37" s="12">
        <f t="shared" si="14"/>
        <v>0.23428042441073846</v>
      </c>
      <c r="X37" s="4">
        <f>SUM(X33:X36)</f>
        <v>17333</v>
      </c>
      <c r="Y37" s="4"/>
      <c r="Z37" s="4">
        <f>SUM(Z33:Z36)</f>
        <v>14043</v>
      </c>
      <c r="AB37" s="4">
        <f>SUM(AB33:AB36)</f>
        <v>14483</v>
      </c>
    </row>
    <row r="38" spans="1:28">
      <c r="A38" s="42" t="s">
        <v>64</v>
      </c>
      <c r="B38" s="32"/>
      <c r="C38" s="36">
        <f>C7/R15</f>
        <v>2.7023830600899403</v>
      </c>
      <c r="D38" s="32"/>
      <c r="E38" s="36">
        <f>E7/T15</f>
        <v>3.0162863886703382</v>
      </c>
      <c r="F38" s="32"/>
      <c r="G38" s="36">
        <f>G7/V15</f>
        <v>2.9493878485068081</v>
      </c>
      <c r="H38" s="36"/>
      <c r="I38" s="33"/>
      <c r="J38" s="36">
        <f>J7/X15</f>
        <v>1.9309275793650793</v>
      </c>
      <c r="K38" s="33"/>
      <c r="L38" s="36">
        <f>L7/Z15</f>
        <v>1.8373323311748382</v>
      </c>
      <c r="M38" s="32"/>
      <c r="N38" s="36">
        <f>N7/AB15</f>
        <v>1.7121486242000379</v>
      </c>
      <c r="P38" s="1" t="s">
        <v>52</v>
      </c>
      <c r="Q38" s="12">
        <f t="shared" si="13"/>
        <v>1.4917127071823204E-2</v>
      </c>
      <c r="R38" s="4">
        <v>1837</v>
      </c>
      <c r="T38" s="4">
        <v>1810</v>
      </c>
      <c r="V38" s="4">
        <v>1773</v>
      </c>
      <c r="W38" s="12">
        <f t="shared" si="14"/>
        <v>2.4691358024691358E-3</v>
      </c>
      <c r="X38" s="4">
        <v>406</v>
      </c>
      <c r="Z38" s="4">
        <v>405</v>
      </c>
      <c r="AB38" s="4">
        <v>403</v>
      </c>
    </row>
    <row r="39" spans="1:28">
      <c r="A39" s="42" t="s">
        <v>65</v>
      </c>
      <c r="B39" s="32"/>
      <c r="C39" s="36">
        <f>R16/C8*365*-1</f>
        <v>38.261262021258645</v>
      </c>
      <c r="D39" s="32"/>
      <c r="E39" s="36">
        <f>T16/E8*365*-1</f>
        <v>35.006518686902453</v>
      </c>
      <c r="F39" s="32"/>
      <c r="G39" s="36">
        <f>V16/G8*365*-1</f>
        <v>34.045566197926114</v>
      </c>
      <c r="H39" s="36"/>
      <c r="I39" s="33"/>
      <c r="J39" s="36">
        <f>X16/J8*365*-1</f>
        <v>23.19041275434563</v>
      </c>
      <c r="K39" s="33"/>
      <c r="L39" s="36">
        <f>Z16/L8*365*-1</f>
        <v>27.870686709941921</v>
      </c>
      <c r="M39" s="32"/>
      <c r="N39" s="36">
        <f>AB16/N8*365*-1</f>
        <v>28.815789473684209</v>
      </c>
      <c r="P39" s="1" t="s">
        <v>53</v>
      </c>
      <c r="Q39" s="43">
        <f t="shared" si="13"/>
        <v>0.21859463042757707</v>
      </c>
      <c r="R39" s="16">
        <v>7353</v>
      </c>
      <c r="T39" s="16">
        <v>6034</v>
      </c>
      <c r="V39" s="16">
        <v>5408</v>
      </c>
      <c r="W39" s="43">
        <f t="shared" si="14"/>
        <v>-0.53424178895877006</v>
      </c>
      <c r="X39" s="16">
        <v>6665</v>
      </c>
      <c r="Z39" s="16">
        <f>5080-498+9728</f>
        <v>14310</v>
      </c>
      <c r="AB39" s="16">
        <f>5020+685+10535</f>
        <v>16240</v>
      </c>
    </row>
    <row r="40" spans="1:28">
      <c r="A40" s="42" t="s">
        <v>67</v>
      </c>
      <c r="B40" s="32"/>
      <c r="C40" s="37">
        <f>C8/R16</f>
        <v>-9.5396748752615483</v>
      </c>
      <c r="D40" s="32"/>
      <c r="E40" s="37">
        <f>E8/T16</f>
        <v>-10.42662948762635</v>
      </c>
      <c r="F40" s="32"/>
      <c r="G40" s="37">
        <f>G8/V16</f>
        <v>-10.720926122304702</v>
      </c>
      <c r="H40" s="37"/>
      <c r="I40" s="33"/>
      <c r="J40" s="37">
        <f>J8/X16</f>
        <v>-15.739262766317214</v>
      </c>
      <c r="K40" s="33"/>
      <c r="L40" s="37">
        <f>L8/Z16</f>
        <v>-13.096196868008949</v>
      </c>
      <c r="M40" s="32"/>
      <c r="N40" s="37">
        <f>N8/AB16</f>
        <v>-12.666666666666666</v>
      </c>
      <c r="P40" s="1" t="s">
        <v>54</v>
      </c>
      <c r="Q40" s="12">
        <f t="shared" si="13"/>
        <v>0.17159612442631311</v>
      </c>
      <c r="R40" s="18">
        <f>SUM(R38:R39)</f>
        <v>9190</v>
      </c>
      <c r="T40" s="18">
        <f>SUM(T38:T39)</f>
        <v>7844</v>
      </c>
      <c r="V40" s="18">
        <f>SUM(V38:V39)</f>
        <v>7181</v>
      </c>
      <c r="W40" s="12">
        <f t="shared" si="14"/>
        <v>-0.51946992864424058</v>
      </c>
      <c r="X40" s="18">
        <f>SUM(X38:X39)</f>
        <v>7071</v>
      </c>
      <c r="Z40" s="18">
        <f>SUM(Z38:Z39)</f>
        <v>14715</v>
      </c>
      <c r="AB40" s="18">
        <f>SUM(AB38:AB39)</f>
        <v>16643</v>
      </c>
    </row>
    <row r="41" spans="1:28" ht="30">
      <c r="A41" s="42" t="s">
        <v>68</v>
      </c>
      <c r="B41" s="32"/>
      <c r="C41" s="36">
        <f>R17/C7*365</f>
        <v>10.808721402552479</v>
      </c>
      <c r="D41" s="32"/>
      <c r="E41" s="36">
        <f>T17/E7*365</f>
        <v>10.534796671622715</v>
      </c>
      <c r="F41" s="32"/>
      <c r="G41" s="36">
        <f>V17/G7*365</f>
        <v>10.119746540799174</v>
      </c>
      <c r="H41" s="36"/>
      <c r="I41" s="33"/>
      <c r="J41" s="36">
        <f>X17/J7*365</f>
        <v>12.429596686147326</v>
      </c>
      <c r="K41" s="33"/>
      <c r="L41" s="36">
        <f>Z17/L7*365</f>
        <v>12.576899476060859</v>
      </c>
      <c r="M41" s="32"/>
      <c r="N41" s="36">
        <f>AB17/N7*365</f>
        <v>14.535296344194556</v>
      </c>
      <c r="P41" s="1" t="s">
        <v>55</v>
      </c>
      <c r="Q41" s="43">
        <f t="shared" si="13"/>
        <v>0.37533156498673742</v>
      </c>
      <c r="R41" s="16">
        <v>1037</v>
      </c>
      <c r="T41" s="16">
        <v>754</v>
      </c>
      <c r="V41" s="16">
        <v>866</v>
      </c>
      <c r="W41" s="43">
        <f t="shared" si="14"/>
        <v>-1</v>
      </c>
      <c r="X41" s="16"/>
      <c r="Y41" s="4"/>
      <c r="Z41" s="16">
        <v>7</v>
      </c>
      <c r="AA41" s="4"/>
      <c r="AB41" s="16">
        <v>18</v>
      </c>
    </row>
    <row r="42" spans="1:28">
      <c r="A42" s="42" t="s">
        <v>66</v>
      </c>
      <c r="B42" s="32"/>
      <c r="C42" s="36">
        <f>R27/C8*365*-1</f>
        <v>82.422135987852201</v>
      </c>
      <c r="D42" s="32"/>
      <c r="E42" s="36">
        <f>T27/E8*365*-1</f>
        <v>78.419970582336035</v>
      </c>
      <c r="F42" s="32"/>
      <c r="G42" s="36">
        <f>V27/G8*365*-1</f>
        <v>77.772877891162068</v>
      </c>
      <c r="H42" s="36"/>
      <c r="I42" s="33"/>
      <c r="J42" s="36">
        <f>X27/J8*365*-1</f>
        <v>77.813755613330187</v>
      </c>
      <c r="K42" s="33"/>
      <c r="L42" s="36">
        <f>Z27/L8*365*-1</f>
        <v>82.575482576016398</v>
      </c>
      <c r="M42" s="32"/>
      <c r="N42" s="36">
        <f>AB27/N8*365*-1</f>
        <v>85.385247975708509</v>
      </c>
      <c r="P42" s="2" t="s">
        <v>56</v>
      </c>
      <c r="Q42" s="43">
        <f t="shared" si="13"/>
        <v>0.18946266573621773</v>
      </c>
      <c r="R42" s="18">
        <f>SUM(R40:R41)</f>
        <v>10227</v>
      </c>
      <c r="T42" s="18">
        <f>SUM(T40:T41)</f>
        <v>8598</v>
      </c>
      <c r="V42" s="18">
        <f>SUM(V40:V41)</f>
        <v>8047</v>
      </c>
      <c r="W42" s="43">
        <f t="shared" si="14"/>
        <v>-0.51969841054204591</v>
      </c>
      <c r="X42" s="18">
        <f>SUM(X40:X41)</f>
        <v>7071</v>
      </c>
      <c r="Z42" s="18">
        <f>SUM(Z40:Z41)</f>
        <v>14722</v>
      </c>
      <c r="AB42" s="18">
        <f>SUM(AB40:AB41)</f>
        <v>16661</v>
      </c>
    </row>
    <row r="43" spans="1:28">
      <c r="A43" s="42"/>
      <c r="B43" s="32"/>
      <c r="C43" s="32"/>
      <c r="D43" s="32"/>
      <c r="E43" s="32"/>
      <c r="F43" s="32"/>
      <c r="G43" s="32"/>
      <c r="H43" s="32"/>
      <c r="I43" s="33"/>
      <c r="J43" s="32"/>
      <c r="K43" s="33"/>
      <c r="L43" s="32"/>
      <c r="M43" s="32"/>
      <c r="N43" s="32"/>
      <c r="P43" s="3" t="s">
        <v>57</v>
      </c>
      <c r="Q43" s="43">
        <f t="shared" si="13"/>
        <v>5.1026029472524444E-2</v>
      </c>
      <c r="R43" s="19">
        <f>R32+R37+R42</f>
        <v>45789</v>
      </c>
      <c r="T43" s="19">
        <f>T32+T37+T42</f>
        <v>43566</v>
      </c>
      <c r="V43" s="19">
        <f>V32+V37+V42</f>
        <v>46006</v>
      </c>
      <c r="W43" s="43">
        <f t="shared" si="14"/>
        <v>-0.11861095606410972</v>
      </c>
      <c r="X43" s="19">
        <f>X32+X37+X42</f>
        <v>44214</v>
      </c>
      <c r="Z43" s="19">
        <f>Z32+Z37+Z42</f>
        <v>50164</v>
      </c>
      <c r="AB43" s="19">
        <f>AB32+AB37+AB42</f>
        <v>50129</v>
      </c>
    </row>
    <row r="44" spans="1:28">
      <c r="A44" s="41" t="s">
        <v>69</v>
      </c>
      <c r="B44" s="32"/>
      <c r="C44" s="32"/>
      <c r="D44" s="32"/>
      <c r="E44" s="32"/>
      <c r="F44" s="32"/>
      <c r="G44" s="32"/>
      <c r="H44" s="32"/>
      <c r="I44" s="33"/>
      <c r="J44" s="32"/>
      <c r="K44" s="33"/>
      <c r="L44" s="32"/>
      <c r="M44" s="32"/>
      <c r="N44" s="32"/>
      <c r="Q44" s="47"/>
      <c r="W44" s="47"/>
    </row>
    <row r="45" spans="1:28">
      <c r="A45" s="42" t="s">
        <v>70</v>
      </c>
      <c r="B45" s="32"/>
      <c r="C45" s="36">
        <f>C22/R46*1000000</f>
        <v>1.7656265202509072</v>
      </c>
      <c r="D45" s="32"/>
      <c r="E45" s="36">
        <f>E22/T46*1000000</f>
        <v>1.8175831473989905</v>
      </c>
      <c r="F45" s="32"/>
      <c r="G45" s="36">
        <f>G22/V46*1000000</f>
        <v>1.8443108325478093</v>
      </c>
      <c r="H45" s="36"/>
      <c r="I45" s="33"/>
      <c r="J45" s="38">
        <v>-70.239999999999995</v>
      </c>
      <c r="K45" s="33"/>
      <c r="L45" s="32">
        <v>23.72</v>
      </c>
      <c r="M45" s="32"/>
      <c r="N45" s="32">
        <v>19.059999999999999</v>
      </c>
      <c r="P45" s="1" t="s">
        <v>81</v>
      </c>
      <c r="Q45" s="12">
        <f t="shared" ref="Q45:Q49" si="15">(R45-T45)/T45</f>
        <v>1.5096623822416277E-2</v>
      </c>
      <c r="R45" s="4">
        <v>734913909</v>
      </c>
      <c r="T45" s="4">
        <v>723984192</v>
      </c>
      <c r="U45" s="4"/>
      <c r="V45" s="4">
        <v>709214653</v>
      </c>
      <c r="W45" s="12">
        <f t="shared" ref="W45:W49" si="16">(X45-Z45)/Z45</f>
        <v>0</v>
      </c>
      <c r="X45" s="4">
        <v>8095821091</v>
      </c>
      <c r="Z45" s="4">
        <v>8095821091</v>
      </c>
      <c r="AA45" s="4"/>
      <c r="AB45" s="4">
        <v>8054054930</v>
      </c>
    </row>
    <row r="46" spans="1:28" ht="15" customHeight="1">
      <c r="A46" s="42" t="s">
        <v>71</v>
      </c>
      <c r="B46" s="32"/>
      <c r="C46" s="36">
        <f>R47/C45</f>
        <v>14.329191202001601</v>
      </c>
      <c r="D46" s="32"/>
      <c r="E46" s="36">
        <f>T47/E45</f>
        <v>15.850719149342835</v>
      </c>
      <c r="F46" s="32"/>
      <c r="G46" s="36">
        <f>V47/G45</f>
        <v>10.491723877839556</v>
      </c>
      <c r="H46" s="36"/>
      <c r="I46" s="33"/>
      <c r="J46" s="36">
        <f>X47/J45</f>
        <v>-3.4937357630979502</v>
      </c>
      <c r="K46" s="33"/>
      <c r="L46" s="36">
        <f>Z47/L45</f>
        <v>14.129426644182125</v>
      </c>
      <c r="M46" s="32"/>
      <c r="N46" s="36">
        <f>AB47/N45</f>
        <v>19.08709338929696</v>
      </c>
      <c r="P46" s="1" t="s">
        <v>78</v>
      </c>
      <c r="Q46" s="12">
        <f t="shared" si="15"/>
        <v>1.8015830910323265E-2</v>
      </c>
      <c r="R46" s="4">
        <v>707397621</v>
      </c>
      <c r="T46" s="4">
        <v>694878802</v>
      </c>
      <c r="U46" s="4"/>
      <c r="V46" s="4">
        <v>682639812</v>
      </c>
      <c r="W46" s="12">
        <f t="shared" si="16"/>
        <v>4.8339117501239462E-3</v>
      </c>
      <c r="X46" s="4">
        <v>8107000000</v>
      </c>
      <c r="Z46" s="4">
        <v>8068000000</v>
      </c>
      <c r="AA46" s="4"/>
      <c r="AB46" s="4">
        <v>8033000000</v>
      </c>
    </row>
    <row r="47" spans="1:28">
      <c r="A47" s="42" t="s">
        <v>72</v>
      </c>
      <c r="B47" s="32"/>
      <c r="C47" s="36">
        <f>C45/R48</f>
        <v>2.5965095886042748</v>
      </c>
      <c r="D47" s="32"/>
      <c r="E47" s="36">
        <f>E45/T48</f>
        <v>2.9315857216112748</v>
      </c>
      <c r="F47" s="32"/>
      <c r="G47" s="36">
        <f>G45/V48</f>
        <v>3.1798462630134643</v>
      </c>
      <c r="H47" s="36"/>
      <c r="I47" s="33"/>
      <c r="J47" s="36">
        <f>J45/X48</f>
        <v>-60.551724137931032</v>
      </c>
      <c r="K47" s="33"/>
      <c r="L47" s="36">
        <f>L45/Z48</f>
        <v>1.6070460704607046</v>
      </c>
      <c r="M47" s="32"/>
      <c r="N47" s="36">
        <f>N45/AB48</f>
        <v>1.2913279132791327</v>
      </c>
      <c r="P47" s="1" t="s">
        <v>79</v>
      </c>
      <c r="Q47" s="12">
        <f t="shared" si="15"/>
        <v>-0.12183269698021514</v>
      </c>
      <c r="R47">
        <v>25.3</v>
      </c>
      <c r="T47">
        <v>28.81</v>
      </c>
      <c r="V47">
        <v>19.350000000000001</v>
      </c>
      <c r="W47" s="12">
        <f t="shared" si="16"/>
        <v>-0.2677905415485603</v>
      </c>
      <c r="X47">
        <v>245.4</v>
      </c>
      <c r="Z47">
        <v>335.15</v>
      </c>
      <c r="AB47" s="22">
        <v>363.8</v>
      </c>
    </row>
    <row r="48" spans="1:28">
      <c r="A48" s="42" t="s">
        <v>73</v>
      </c>
      <c r="B48" s="32"/>
      <c r="C48" s="39">
        <f>R48/R47</f>
        <v>2.6877470355731226E-2</v>
      </c>
      <c r="D48" s="32"/>
      <c r="E48" s="39">
        <f>T48/T47</f>
        <v>2.1520305449496704E-2</v>
      </c>
      <c r="F48" s="32"/>
      <c r="G48" s="39">
        <f>V48/V47</f>
        <v>2.9974160206718344E-2</v>
      </c>
      <c r="H48" s="39"/>
      <c r="I48" s="33"/>
      <c r="J48" s="39">
        <f>X48/X47</f>
        <v>4.7269763651181743E-3</v>
      </c>
      <c r="K48" s="33"/>
      <c r="L48" s="39">
        <f>Z48/Z47</f>
        <v>4.4039982097568257E-2</v>
      </c>
      <c r="M48" s="32"/>
      <c r="N48" s="39">
        <f>AB48/AB47</f>
        <v>4.0571742715777896E-2</v>
      </c>
      <c r="P48" s="1" t="s">
        <v>80</v>
      </c>
      <c r="Q48" s="12">
        <f t="shared" si="15"/>
        <v>9.6774193548387177E-2</v>
      </c>
      <c r="R48">
        <v>0.68</v>
      </c>
      <c r="T48">
        <v>0.62</v>
      </c>
      <c r="V48">
        <v>0.57999999999999996</v>
      </c>
      <c r="W48" s="12">
        <f t="shared" si="16"/>
        <v>-0.92140921409214094</v>
      </c>
      <c r="X48">
        <v>1.1599999999999999</v>
      </c>
      <c r="Z48">
        <v>14.76</v>
      </c>
      <c r="AB48">
        <v>14.76</v>
      </c>
    </row>
    <row r="49" spans="1:28">
      <c r="A49" s="42" t="s">
        <v>74</v>
      </c>
      <c r="B49" s="32"/>
      <c r="C49" s="40">
        <f>R33/R42</f>
        <v>0.66637332551090256</v>
      </c>
      <c r="D49" s="32"/>
      <c r="E49" s="40">
        <f>T33/T42</f>
        <v>0.87811118864852289</v>
      </c>
      <c r="F49" s="32"/>
      <c r="G49" s="40">
        <f>V33/V42</f>
        <v>1.1163166397415185</v>
      </c>
      <c r="H49" s="40"/>
      <c r="I49" s="33"/>
      <c r="J49" s="40">
        <f>X33/X42</f>
        <v>1.5062933107056993</v>
      </c>
      <c r="K49" s="33"/>
      <c r="L49" s="40">
        <f>Z33/Z42</f>
        <v>0.684214101344926</v>
      </c>
      <c r="M49" s="32"/>
      <c r="N49" s="40">
        <f>AB33/AB42</f>
        <v>0.64984094592161334</v>
      </c>
      <c r="P49" s="1" t="s">
        <v>84</v>
      </c>
      <c r="Q49" s="12">
        <f t="shared" si="15"/>
        <v>-0.10857533555337964</v>
      </c>
      <c r="R49" s="21">
        <f>R47*R45/1000000</f>
        <v>18593.3218977</v>
      </c>
      <c r="T49" s="21">
        <f>T47*T45/1000000</f>
        <v>20857.984571519999</v>
      </c>
      <c r="V49" s="21">
        <f>V47*V45/1000000</f>
        <v>13723.303535550001</v>
      </c>
      <c r="W49" s="12">
        <f t="shared" si="16"/>
        <v>-0.2641798163957777</v>
      </c>
      <c r="X49" s="27">
        <f>X45*X47/100000000</f>
        <v>19867.144957314002</v>
      </c>
      <c r="Z49" s="4">
        <f>27000</f>
        <v>27000</v>
      </c>
      <c r="AB49" s="4">
        <v>29981</v>
      </c>
    </row>
    <row r="50" spans="1:28">
      <c r="A50" s="42" t="s">
        <v>75</v>
      </c>
      <c r="B50" s="32"/>
      <c r="C50" s="40">
        <f>C14/C15*-1</f>
        <v>4.5026642984014211</v>
      </c>
      <c r="D50" s="32"/>
      <c r="E50" s="40">
        <f>E14/E15*-1</f>
        <v>3.2963988919667591</v>
      </c>
      <c r="F50" s="32"/>
      <c r="G50" s="40">
        <f>G14/G15*-1</f>
        <v>1.6591166477916195</v>
      </c>
      <c r="H50" s="40"/>
      <c r="I50" s="33"/>
      <c r="J50" s="40">
        <f>J14/J15*-1</f>
        <v>-10.143607705779335</v>
      </c>
      <c r="K50" s="33"/>
      <c r="L50" s="40">
        <f>L14/L15*-1</f>
        <v>6.0902777777777777</v>
      </c>
      <c r="M50" s="32"/>
      <c r="N50" s="40">
        <f>N14/N15*-1</f>
        <v>6</v>
      </c>
      <c r="Q50" s="47"/>
      <c r="W50" s="47"/>
    </row>
    <row r="51" spans="1:28">
      <c r="M51" s="4"/>
    </row>
    <row r="52" spans="1:28">
      <c r="A52" s="3" t="s">
        <v>33</v>
      </c>
    </row>
    <row r="53" spans="1:28">
      <c r="A53" s="1" t="s">
        <v>92</v>
      </c>
      <c r="C53" s="49">
        <f>C18/C17*-1</f>
        <v>0.35291189646590343</v>
      </c>
      <c r="E53" s="49">
        <f>E18/E17*-1</f>
        <v>0.37381516587677727</v>
      </c>
      <c r="G53" s="49">
        <f>G18/G17*-1</f>
        <v>0.58103975535168195</v>
      </c>
      <c r="J53" s="49">
        <f>J18/J17*-1</f>
        <v>0.1030426599749059</v>
      </c>
      <c r="L53" s="49">
        <f>L18/L17*-1</f>
        <v>0.15360779105799027</v>
      </c>
      <c r="N53" s="49">
        <f>N18/N17*-1</f>
        <v>0.25717063684978125</v>
      </c>
    </row>
    <row r="54" spans="1:28">
      <c r="A54" s="1" t="s">
        <v>93</v>
      </c>
    </row>
    <row r="55" spans="1:28">
      <c r="A55" s="1" t="s">
        <v>94</v>
      </c>
      <c r="C55" s="49">
        <f>(R6+R7)/R24</f>
        <v>0.208412500818974</v>
      </c>
      <c r="E55" s="49">
        <f>(T6+T7)/T24</f>
        <v>0.2075930771702704</v>
      </c>
      <c r="G55" s="49">
        <f>(V6+V7)/V24</f>
        <v>0.20451680215624049</v>
      </c>
      <c r="J55" s="49">
        <f>(X6+X7)/X24</f>
        <v>8.5289727235717192E-2</v>
      </c>
      <c r="L55" s="49">
        <f>(Z6+Z7)/Z24</f>
        <v>7.5651861892990988E-2</v>
      </c>
      <c r="N55" s="49">
        <f>(AB6+AB7)/AB24</f>
        <v>8.7015500009974267E-2</v>
      </c>
    </row>
    <row r="56" spans="1:28">
      <c r="A56" s="1" t="s">
        <v>95</v>
      </c>
      <c r="C56" s="49">
        <f>(R6+R7)/R42</f>
        <v>0.93311821648577298</v>
      </c>
      <c r="E56" s="49">
        <f>(T6+T7)/T42</f>
        <v>1.0518725284949988</v>
      </c>
      <c r="G56" s="49">
        <f>(V6+V7)/V42</f>
        <v>1.16925562321362</v>
      </c>
      <c r="J56" s="49">
        <f>(X6+X7)/X42</f>
        <v>0.53330504879083585</v>
      </c>
      <c r="L56" s="49">
        <f>(Z6+Z7)/Z42</f>
        <v>0.25777747588642846</v>
      </c>
      <c r="N56" s="49">
        <f>(AB6+AB7)/AB42</f>
        <v>0.26180901506512216</v>
      </c>
    </row>
    <row r="57" spans="1:28">
      <c r="A57" s="1" t="s">
        <v>96</v>
      </c>
      <c r="C57" s="49">
        <f>R49/R42</f>
        <v>1.8180621783220885</v>
      </c>
      <c r="E57" s="49">
        <f>T49/T42</f>
        <v>2.425911208597348</v>
      </c>
      <c r="G57" s="49">
        <f>V49/V42</f>
        <v>1.7053937536411086</v>
      </c>
      <c r="J57" s="49">
        <f>X49/X42</f>
        <v>2.8096655292481971</v>
      </c>
      <c r="L57" s="49">
        <f>Z49/Z42</f>
        <v>1.8339899470180683</v>
      </c>
      <c r="N57" s="49">
        <f>AB49/AB42</f>
        <v>1.7994718204189424</v>
      </c>
    </row>
  </sheetData>
  <mergeCells count="4">
    <mergeCell ref="B1:G1"/>
    <mergeCell ref="I1:N1"/>
    <mergeCell ref="R1:V1"/>
    <mergeCell ref="X1:AB1"/>
  </mergeCells>
  <phoneticPr fontId="8" type="noConversion"/>
  <pageMargins left="0.75000000000000011" right="0.75000000000000011" top="1" bottom="1" header="0.5" footer="0.5"/>
  <pageSetup paperSize="9" scale="46" orientation="landscape" horizontalDpi="4294967292" verticalDpi="4294967292"/>
  <headerFooter>
    <oddHeader>&amp;L&amp;"Calibri,Regular"&amp;K000000Session 4 SM 3.1  Common Size Analysis - Solution</oddHeader>
    <oddFooter>&amp;L&amp;"Calibri,Regular"&amp;K000000A86045 Accounting and Financial Reporting&amp;R&amp;"Calibri,Regular"&amp;K000000Paul G. Smith</oddFoot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B51"/>
  <sheetViews>
    <sheetView tabSelected="1" workbookViewId="0">
      <selection activeCell="A51" sqref="A51"/>
    </sheetView>
  </sheetViews>
  <sheetFormatPr baseColWidth="10" defaultRowHeight="15" x14ac:dyDescent="0"/>
  <cols>
    <col min="1" max="1" width="32.83203125" style="1" customWidth="1"/>
    <col min="2" max="2" width="9" style="1" customWidth="1"/>
    <col min="3" max="3" width="9.6640625" style="1" customWidth="1"/>
    <col min="4" max="4" width="9.1640625" customWidth="1"/>
    <col min="5" max="5" width="9.6640625" customWidth="1"/>
    <col min="6" max="6" width="4.33203125" customWidth="1"/>
    <col min="7" max="7" width="9.6640625" customWidth="1"/>
    <col min="8" max="8" width="3.83203125" customWidth="1"/>
    <col min="9" max="9" width="9.1640625" customWidth="1"/>
    <col min="10" max="10" width="9.6640625" customWidth="1"/>
    <col min="11" max="11" width="9.1640625" style="11" customWidth="1"/>
    <col min="12" max="12" width="9.6640625" customWidth="1"/>
    <col min="13" max="13" width="4.33203125" customWidth="1"/>
    <col min="14" max="14" width="9.6640625" customWidth="1"/>
    <col min="15" max="15" width="5.5" customWidth="1"/>
    <col min="16" max="16" width="39.6640625" style="1" customWidth="1"/>
    <col min="17" max="17" width="9.1640625" style="45" customWidth="1"/>
    <col min="18" max="18" width="13.1640625" customWidth="1"/>
    <col min="19" max="19" width="3.6640625" customWidth="1"/>
    <col min="20" max="20" width="13.1640625" customWidth="1"/>
    <col min="21" max="21" width="3.6640625" customWidth="1"/>
    <col min="22" max="22" width="13.1640625" hidden="1" customWidth="1"/>
    <col min="23" max="23" width="9.1640625" style="45" customWidth="1"/>
    <col min="24" max="24" width="14" customWidth="1"/>
    <col min="25" max="25" width="3.6640625" customWidth="1"/>
    <col min="26" max="26" width="13.83203125" customWidth="1"/>
    <col min="27" max="27" width="3.6640625" customWidth="1"/>
    <col min="28" max="28" width="14.1640625" hidden="1" customWidth="1"/>
  </cols>
  <sheetData>
    <row r="1" spans="1:28">
      <c r="B1" s="50" t="s">
        <v>89</v>
      </c>
      <c r="C1" s="50"/>
      <c r="D1" s="50"/>
      <c r="E1" s="50"/>
      <c r="F1" s="50"/>
      <c r="G1" s="50"/>
      <c r="H1" s="29"/>
      <c r="I1" s="50" t="s">
        <v>91</v>
      </c>
      <c r="J1" s="50"/>
      <c r="K1" s="50"/>
      <c r="L1" s="50"/>
      <c r="M1" s="50"/>
      <c r="N1" s="50"/>
      <c r="Q1" s="44"/>
      <c r="R1" s="50" t="s">
        <v>90</v>
      </c>
      <c r="S1" s="50"/>
      <c r="T1" s="50"/>
      <c r="U1" s="50"/>
      <c r="V1" s="50"/>
      <c r="W1" s="44"/>
      <c r="X1" s="50" t="s">
        <v>88</v>
      </c>
      <c r="Y1" s="50"/>
      <c r="Z1" s="50"/>
      <c r="AA1" s="50"/>
      <c r="AB1" s="50"/>
    </row>
    <row r="2" spans="1:28">
      <c r="C2" s="1">
        <v>2014</v>
      </c>
      <c r="E2">
        <v>2013</v>
      </c>
      <c r="G2">
        <v>2012</v>
      </c>
      <c r="J2">
        <v>2014</v>
      </c>
      <c r="L2">
        <v>2013</v>
      </c>
      <c r="N2">
        <v>2012</v>
      </c>
      <c r="R2" s="20">
        <v>2014</v>
      </c>
      <c r="T2" s="20">
        <v>2013</v>
      </c>
      <c r="U2" s="20"/>
      <c r="V2" s="20">
        <v>2012</v>
      </c>
      <c r="X2">
        <v>2014</v>
      </c>
      <c r="Z2">
        <v>2013</v>
      </c>
      <c r="AB2">
        <v>2012</v>
      </c>
    </row>
    <row r="3" spans="1:28">
      <c r="B3" s="10" t="s">
        <v>21</v>
      </c>
      <c r="C3"/>
      <c r="D3" s="10" t="s">
        <v>21</v>
      </c>
      <c r="I3" s="13" t="s">
        <v>21</v>
      </c>
      <c r="K3" s="13" t="s">
        <v>21</v>
      </c>
      <c r="Q3" s="13" t="s">
        <v>21</v>
      </c>
      <c r="W3" s="13" t="s">
        <v>21</v>
      </c>
    </row>
    <row r="4" spans="1:28">
      <c r="A4" s="14" t="s">
        <v>23</v>
      </c>
      <c r="B4" s="10" t="s">
        <v>22</v>
      </c>
      <c r="C4" s="5"/>
      <c r="D4" s="10" t="s">
        <v>22</v>
      </c>
      <c r="E4" s="5"/>
      <c r="F4" s="5"/>
      <c r="G4" s="5"/>
      <c r="H4" s="5"/>
      <c r="I4" s="13" t="s">
        <v>22</v>
      </c>
      <c r="J4" s="5"/>
      <c r="K4" s="13" t="s">
        <v>22</v>
      </c>
      <c r="L4" s="5"/>
      <c r="M4" s="5"/>
      <c r="N4" s="5"/>
      <c r="P4" s="15" t="s">
        <v>24</v>
      </c>
      <c r="Q4" s="13" t="s">
        <v>22</v>
      </c>
      <c r="W4" s="13" t="s">
        <v>22</v>
      </c>
    </row>
    <row r="5" spans="1:28">
      <c r="A5" s="1" t="s">
        <v>0</v>
      </c>
      <c r="B5" s="12"/>
      <c r="C5" s="6">
        <v>74097</v>
      </c>
      <c r="D5" s="12"/>
      <c r="E5" s="6">
        <v>74299</v>
      </c>
      <c r="F5" s="6"/>
      <c r="G5" s="6">
        <v>75021</v>
      </c>
      <c r="H5" s="6"/>
      <c r="I5" s="12"/>
      <c r="J5" s="6">
        <v>62284</v>
      </c>
      <c r="K5" s="12"/>
      <c r="L5" s="6">
        <v>63557</v>
      </c>
      <c r="M5" s="6"/>
      <c r="N5" s="6">
        <v>63406</v>
      </c>
      <c r="P5" s="3" t="s">
        <v>25</v>
      </c>
      <c r="Q5" s="12"/>
      <c r="R5" s="4"/>
      <c r="S5" s="4"/>
      <c r="T5" s="4"/>
      <c r="U5" s="4"/>
      <c r="V5" s="4"/>
      <c r="W5" s="12"/>
      <c r="X5" s="4"/>
      <c r="Y5" s="4"/>
      <c r="Z5" s="4"/>
      <c r="AA5" s="4"/>
      <c r="AB5" s="4"/>
    </row>
    <row r="6" spans="1:28">
      <c r="A6" s="1" t="s">
        <v>1</v>
      </c>
      <c r="B6" s="12"/>
      <c r="C6" s="7">
        <v>2221</v>
      </c>
      <c r="D6" s="12"/>
      <c r="E6" s="7">
        <v>2375</v>
      </c>
      <c r="F6" s="6"/>
      <c r="G6" s="7">
        <v>2309</v>
      </c>
      <c r="H6" s="24"/>
      <c r="I6" s="12"/>
      <c r="J6" s="9"/>
      <c r="K6" s="12"/>
      <c r="L6" s="9"/>
      <c r="M6" s="6"/>
      <c r="N6" s="7"/>
      <c r="P6" s="1" t="s">
        <v>26</v>
      </c>
      <c r="Q6" s="12">
        <f>(R6-T6)/T6</f>
        <v>-5.9200193306753659E-3</v>
      </c>
      <c r="R6" s="4">
        <v>8228</v>
      </c>
      <c r="S6" s="4"/>
      <c r="T6" s="4">
        <v>8277</v>
      </c>
      <c r="U6" s="4"/>
      <c r="V6" s="4">
        <v>8608</v>
      </c>
      <c r="W6" s="12">
        <f>(X6-Z6)/Z6</f>
        <v>-6.3241106719367588E-3</v>
      </c>
      <c r="X6" s="4">
        <v>3771</v>
      </c>
      <c r="Y6" s="4"/>
      <c r="Z6" s="4">
        <v>3795</v>
      </c>
      <c r="AA6" s="4"/>
      <c r="AB6" s="4">
        <v>4362</v>
      </c>
    </row>
    <row r="7" spans="1:28">
      <c r="A7" s="2" t="s">
        <v>2</v>
      </c>
      <c r="B7" s="12">
        <f>(C7-E7)/E7</f>
        <v>-4.6430341445600851E-3</v>
      </c>
      <c r="C7" s="6">
        <f>SUM(C5:C6)</f>
        <v>76318</v>
      </c>
      <c r="D7" s="12">
        <f>(E7-G7)/G7</f>
        <v>-8.4831242725979562E-3</v>
      </c>
      <c r="E7" s="6">
        <f>SUM(E5:E6)</f>
        <v>76674</v>
      </c>
      <c r="F7" s="6"/>
      <c r="G7" s="6">
        <f>SUM(G5:G6)</f>
        <v>77330</v>
      </c>
      <c r="H7" s="6"/>
      <c r="I7" s="12">
        <f>(J7-L7)/L7</f>
        <v>-2.0029265069150527E-2</v>
      </c>
      <c r="J7" s="6">
        <f>SUM(J5:J6)</f>
        <v>62284</v>
      </c>
      <c r="K7" s="12">
        <f>(L7-N7)/N7</f>
        <v>2.3814780935558148E-3</v>
      </c>
      <c r="L7" s="6">
        <f>SUM(L5:L6)</f>
        <v>63557</v>
      </c>
      <c r="M7" s="6"/>
      <c r="N7" s="6">
        <f>SUM(N5:N6)</f>
        <v>63406</v>
      </c>
      <c r="P7" s="1" t="s">
        <v>27</v>
      </c>
      <c r="Q7" s="12"/>
      <c r="R7" s="4">
        <v>1315</v>
      </c>
      <c r="S7" s="4"/>
      <c r="T7" s="4">
        <v>767</v>
      </c>
      <c r="U7" s="4"/>
      <c r="V7" s="4">
        <v>801</v>
      </c>
      <c r="W7" s="12"/>
      <c r="X7" s="4"/>
      <c r="Y7" s="4"/>
      <c r="Z7" s="4"/>
      <c r="AA7" s="4"/>
      <c r="AB7" s="4"/>
    </row>
    <row r="8" spans="1:28">
      <c r="A8" s="1" t="s">
        <v>3</v>
      </c>
      <c r="B8" s="12">
        <f>(C8-E8)/E8</f>
        <v>-9.3267366450491412E-3</v>
      </c>
      <c r="C8" s="7">
        <v>-59270</v>
      </c>
      <c r="D8" s="12">
        <f>(E8-G8)/G8</f>
        <v>-1.3699533457524851E-2</v>
      </c>
      <c r="E8" s="7">
        <v>-59828</v>
      </c>
      <c r="F8" s="6"/>
      <c r="G8" s="7">
        <v>-60659</v>
      </c>
      <c r="H8" s="24"/>
      <c r="I8" s="12">
        <f t="shared" ref="I8:I9" si="0">(J8-L8)/L8</f>
        <v>-6.2137000341646736E-3</v>
      </c>
      <c r="J8" s="7">
        <v>-46541</v>
      </c>
      <c r="K8" s="12">
        <f t="shared" ref="K8:K12" si="1">(L8-N8)/N8</f>
        <v>-1.2483130904183536E-2</v>
      </c>
      <c r="L8" s="7">
        <v>-46832</v>
      </c>
      <c r="M8" s="6"/>
      <c r="N8" s="7">
        <v>-47424</v>
      </c>
      <c r="P8" s="1" t="s">
        <v>28</v>
      </c>
      <c r="Q8" s="12">
        <f t="shared" ref="Q8:Q24" si="2">(R8-T8)/T8</f>
        <v>0.10468989107930507</v>
      </c>
      <c r="R8" s="4">
        <v>12272</v>
      </c>
      <c r="S8" s="4"/>
      <c r="T8" s="4">
        <v>11109</v>
      </c>
      <c r="U8" s="4"/>
      <c r="V8" s="4">
        <v>11509</v>
      </c>
      <c r="W8" s="12">
        <f t="shared" ref="W8:W24" si="3">(X8-Z8)/Z8</f>
        <v>-0.16537362188648427</v>
      </c>
      <c r="X8" s="4">
        <v>20440</v>
      </c>
      <c r="Y8" s="4"/>
      <c r="Z8" s="4">
        <v>24490</v>
      </c>
      <c r="AA8" s="4"/>
      <c r="AB8" s="4">
        <v>24870</v>
      </c>
    </row>
    <row r="9" spans="1:28">
      <c r="A9" s="2" t="s">
        <v>8</v>
      </c>
      <c r="B9" s="12">
        <f>(C9-E9)/E9</f>
        <v>1.1990977086548735E-2</v>
      </c>
      <c r="C9" s="6">
        <f>SUM(C7:C8)</f>
        <v>17048</v>
      </c>
      <c r="D9" s="12">
        <f>(E9-G9)/G9</f>
        <v>1.04972707096155E-2</v>
      </c>
      <c r="E9" s="6">
        <f>SUM(E7:E8)</f>
        <v>16846</v>
      </c>
      <c r="F9" s="6"/>
      <c r="G9" s="6">
        <f>SUM(G7:G8)</f>
        <v>16671</v>
      </c>
      <c r="H9" s="6"/>
      <c r="I9" s="12">
        <f t="shared" si="0"/>
        <v>-5.8714499252615841E-2</v>
      </c>
      <c r="J9" s="6">
        <f>SUM(J7:J8)</f>
        <v>15743</v>
      </c>
      <c r="K9" s="12">
        <f t="shared" si="1"/>
        <v>4.6489801026154423E-2</v>
      </c>
      <c r="L9" s="6">
        <f>SUM(L7:L8)</f>
        <v>16725</v>
      </c>
      <c r="M9" s="6"/>
      <c r="N9" s="6">
        <f>SUM(N7:N8)</f>
        <v>15982</v>
      </c>
      <c r="P9" s="1" t="s">
        <v>29</v>
      </c>
      <c r="Q9" s="12">
        <f t="shared" si="2"/>
        <v>-5.4313099041533544E-2</v>
      </c>
      <c r="R9" s="4">
        <v>296</v>
      </c>
      <c r="S9" s="4"/>
      <c r="T9" s="4">
        <v>313</v>
      </c>
      <c r="U9" s="4"/>
      <c r="V9" s="4">
        <v>513</v>
      </c>
      <c r="W9" s="12">
        <f t="shared" si="3"/>
        <v>-0.27753303964757708</v>
      </c>
      <c r="X9" s="4">
        <v>164</v>
      </c>
      <c r="Y9" s="4"/>
      <c r="Z9" s="4">
        <v>227</v>
      </c>
      <c r="AA9" s="4"/>
      <c r="AB9" s="4">
        <v>2001</v>
      </c>
    </row>
    <row r="10" spans="1:28">
      <c r="A10" s="1" t="s">
        <v>5</v>
      </c>
      <c r="B10" s="12"/>
      <c r="C10" s="6"/>
      <c r="D10" s="12"/>
      <c r="E10" s="6"/>
      <c r="F10" s="6"/>
      <c r="G10" s="6"/>
      <c r="H10" s="6"/>
      <c r="I10" s="12"/>
      <c r="J10" s="6"/>
      <c r="K10" s="12"/>
      <c r="L10" s="6"/>
      <c r="M10" s="6"/>
      <c r="N10" s="6"/>
      <c r="P10" s="1" t="s">
        <v>30</v>
      </c>
      <c r="Q10" s="12">
        <f t="shared" si="2"/>
        <v>1.965725806451613</v>
      </c>
      <c r="R10" s="4">
        <v>1471</v>
      </c>
      <c r="S10" s="4"/>
      <c r="T10" s="4">
        <v>496</v>
      </c>
      <c r="U10" s="4"/>
      <c r="V10" s="4">
        <v>384</v>
      </c>
      <c r="W10" s="12">
        <f t="shared" si="3"/>
        <v>2.2867132867132867</v>
      </c>
      <c r="X10" s="4">
        <v>940</v>
      </c>
      <c r="Y10" s="4"/>
      <c r="Z10" s="4">
        <v>286</v>
      </c>
      <c r="AA10" s="4"/>
      <c r="AB10" s="4">
        <v>494</v>
      </c>
    </row>
    <row r="11" spans="1:28">
      <c r="A11" s="1" t="s">
        <v>4</v>
      </c>
      <c r="B11" s="12">
        <f t="shared" ref="B11:B12" si="4">(C11-E11)/E11</f>
        <v>1.8950437317784258E-2</v>
      </c>
      <c r="C11" s="6">
        <v>-13281</v>
      </c>
      <c r="D11" s="12">
        <f t="shared" ref="D11:D12" si="5">(E11-G11)/G11</f>
        <v>-4.7779076563413209E-2</v>
      </c>
      <c r="E11" s="6">
        <f>-13178+144</f>
        <v>-13034</v>
      </c>
      <c r="F11" s="6"/>
      <c r="G11" s="6">
        <f>-13028-660</f>
        <v>-13688</v>
      </c>
      <c r="H11" s="6"/>
      <c r="I11" s="12">
        <f t="shared" ref="I11:I12" si="6">(J11-L11)/L11</f>
        <v>0.65053274964896346</v>
      </c>
      <c r="J11" s="6">
        <v>-19983</v>
      </c>
      <c r="K11" s="12">
        <f t="shared" si="1"/>
        <v>9.5061505065123009E-2</v>
      </c>
      <c r="L11" s="6">
        <f>-1657-12715+2265</f>
        <v>-12107</v>
      </c>
      <c r="M11" s="6"/>
      <c r="N11" s="6">
        <f>-1482-11828+2254</f>
        <v>-11056</v>
      </c>
      <c r="P11" s="1" t="s">
        <v>58</v>
      </c>
      <c r="Q11" s="12"/>
      <c r="W11" s="12">
        <f t="shared" si="3"/>
        <v>-3.9408866995073892E-2</v>
      </c>
      <c r="X11" s="4">
        <v>975</v>
      </c>
      <c r="Z11" s="4">
        <v>1015</v>
      </c>
      <c r="AA11" s="4"/>
      <c r="AB11" s="4">
        <v>818</v>
      </c>
    </row>
    <row r="12" spans="1:28" ht="30">
      <c r="A12" s="1" t="s">
        <v>6</v>
      </c>
      <c r="B12" s="12">
        <f t="shared" si="4"/>
        <v>-3.5614525139664802E-2</v>
      </c>
      <c r="C12" s="24">
        <v>-1381</v>
      </c>
      <c r="D12" s="12">
        <f t="shared" si="5"/>
        <v>-5.6653491436100128E-2</v>
      </c>
      <c r="E12" s="24">
        <v>-1432</v>
      </c>
      <c r="F12" s="6"/>
      <c r="G12" s="24">
        <v>-1518</v>
      </c>
      <c r="H12" s="24"/>
      <c r="I12" s="12">
        <f t="shared" si="6"/>
        <v>-0.21892299949672875</v>
      </c>
      <c r="J12" s="24">
        <v>-1552</v>
      </c>
      <c r="K12" s="12">
        <f t="shared" si="1"/>
        <v>-0.21894654088050314</v>
      </c>
      <c r="L12" s="24">
        <f>278-2265</f>
        <v>-1987</v>
      </c>
      <c r="M12" s="6"/>
      <c r="N12" s="24">
        <f>-290-2254</f>
        <v>-2544</v>
      </c>
      <c r="P12" s="1" t="s">
        <v>31</v>
      </c>
      <c r="Q12" s="12">
        <f t="shared" si="2"/>
        <v>7.5178496430071393E-2</v>
      </c>
      <c r="R12" s="4">
        <v>2560</v>
      </c>
      <c r="S12" s="4"/>
      <c r="T12" s="4">
        <v>2381</v>
      </c>
      <c r="U12" s="4"/>
      <c r="V12" s="4">
        <v>2360</v>
      </c>
      <c r="W12" s="12">
        <f t="shared" si="3"/>
        <v>0.21682242990654205</v>
      </c>
      <c r="X12" s="4">
        <v>3906</v>
      </c>
      <c r="Y12" s="4"/>
      <c r="Z12" s="4">
        <v>3210</v>
      </c>
      <c r="AA12" s="4"/>
      <c r="AB12" s="4">
        <v>2465</v>
      </c>
    </row>
    <row r="13" spans="1:28">
      <c r="A13" s="1" t="s">
        <v>82</v>
      </c>
      <c r="C13" s="26">
        <v>149</v>
      </c>
      <c r="E13" s="9"/>
      <c r="G13" s="9"/>
      <c r="H13" s="28"/>
      <c r="J13" s="9"/>
      <c r="L13" s="9"/>
      <c r="N13" s="9"/>
      <c r="P13" s="1" t="s">
        <v>32</v>
      </c>
      <c r="Q13" s="12">
        <f t="shared" si="2"/>
        <v>-0.18474758324382384</v>
      </c>
      <c r="R13" s="4">
        <v>759</v>
      </c>
      <c r="S13" s="4"/>
      <c r="T13" s="4">
        <v>931</v>
      </c>
      <c r="U13" s="4"/>
      <c r="V13" s="4">
        <v>919</v>
      </c>
      <c r="W13" s="12">
        <f t="shared" si="3"/>
        <v>6.0410958904109586</v>
      </c>
      <c r="X13" s="4">
        <v>514</v>
      </c>
      <c r="Y13" s="4"/>
      <c r="Z13" s="4">
        <v>73</v>
      </c>
      <c r="AA13" s="4"/>
      <c r="AB13" s="4">
        <v>58</v>
      </c>
    </row>
    <row r="14" spans="1:28">
      <c r="A14" s="2" t="s">
        <v>7</v>
      </c>
      <c r="B14" s="12">
        <f t="shared" ref="B14:B21" si="7">(C14-E14)/E14</f>
        <v>6.5126050420168072E-2</v>
      </c>
      <c r="C14" s="6">
        <f>SUM(C9:C13)</f>
        <v>2535</v>
      </c>
      <c r="D14" s="12">
        <f t="shared" ref="D14:D21" si="8">(E14-G14)/G14</f>
        <v>0.62457337883959041</v>
      </c>
      <c r="E14" s="6">
        <f>SUM(E9:E13)</f>
        <v>2380</v>
      </c>
      <c r="F14" s="6"/>
      <c r="G14" s="6">
        <f>SUM(G9:G13)</f>
        <v>1465</v>
      </c>
      <c r="H14" s="6"/>
      <c r="I14" s="12">
        <f t="shared" ref="I14:I21" si="9">(J14-L14)/L14</f>
        <v>-3.201444317749905</v>
      </c>
      <c r="J14" s="6">
        <f>SUM(J9:J13)</f>
        <v>-5792</v>
      </c>
      <c r="K14" s="12">
        <f t="shared" ref="K14:K21" si="10">(L14-N14)/N14</f>
        <v>0.10453400503778337</v>
      </c>
      <c r="L14" s="6">
        <f>SUM(L9:L13)</f>
        <v>2631</v>
      </c>
      <c r="M14" s="6"/>
      <c r="N14" s="6">
        <f>SUM(N9:N13)</f>
        <v>2382</v>
      </c>
      <c r="P14" s="1" t="s">
        <v>33</v>
      </c>
      <c r="Q14" s="43">
        <f t="shared" si="2"/>
        <v>0.16928446771378708</v>
      </c>
      <c r="R14" s="16">
        <v>1340</v>
      </c>
      <c r="S14" s="4"/>
      <c r="T14" s="16">
        <v>1146</v>
      </c>
      <c r="U14" s="4"/>
      <c r="V14" s="16">
        <v>1125</v>
      </c>
      <c r="W14" s="43">
        <f t="shared" si="3"/>
        <v>3.342245989304813E-2</v>
      </c>
      <c r="X14" s="16">
        <v>1546</v>
      </c>
      <c r="Y14" s="4"/>
      <c r="Z14" s="16">
        <v>1496</v>
      </c>
      <c r="AA14" s="4"/>
      <c r="AB14" s="16">
        <v>1965</v>
      </c>
    </row>
    <row r="15" spans="1:28">
      <c r="A15" s="1" t="s">
        <v>83</v>
      </c>
      <c r="B15" s="12">
        <f t="shared" si="7"/>
        <v>-0.22022160664819945</v>
      </c>
      <c r="C15" s="6">
        <v>-563</v>
      </c>
      <c r="D15" s="12">
        <f t="shared" si="8"/>
        <v>-0.18233295583238959</v>
      </c>
      <c r="E15" s="6">
        <v>-722</v>
      </c>
      <c r="F15" s="6"/>
      <c r="G15" s="6">
        <v>-883</v>
      </c>
      <c r="H15" s="6"/>
      <c r="I15" s="12">
        <f t="shared" si="9"/>
        <v>0.32175925925925924</v>
      </c>
      <c r="J15" s="6">
        <v>-571</v>
      </c>
      <c r="K15" s="12">
        <f t="shared" si="10"/>
        <v>8.8161209068010074E-2</v>
      </c>
      <c r="L15" s="6">
        <v>-432</v>
      </c>
      <c r="M15" s="6"/>
      <c r="N15" s="6">
        <v>-397</v>
      </c>
      <c r="P15" s="2" t="s">
        <v>34</v>
      </c>
      <c r="Q15" s="12">
        <f t="shared" si="2"/>
        <v>0.11097560975609756</v>
      </c>
      <c r="R15" s="4">
        <f>SUM(R6:R14)</f>
        <v>28241</v>
      </c>
      <c r="S15" s="4"/>
      <c r="T15" s="4">
        <f>SUM(T6:T14)</f>
        <v>25420</v>
      </c>
      <c r="U15" s="4"/>
      <c r="V15" s="4">
        <f>SUM(V6:V14)</f>
        <v>26219</v>
      </c>
      <c r="W15" s="12">
        <f t="shared" si="3"/>
        <v>-6.7530064754856609E-2</v>
      </c>
      <c r="X15" s="4">
        <f>SUM(X6:X14)</f>
        <v>32256</v>
      </c>
      <c r="Y15" s="4"/>
      <c r="Z15" s="4">
        <f>SUM(Z6:Z14)</f>
        <v>34592</v>
      </c>
      <c r="AA15" s="4"/>
      <c r="AB15" s="4">
        <f>SUM(AB6:AB14)</f>
        <v>37033</v>
      </c>
    </row>
    <row r="16" spans="1:28" ht="30">
      <c r="A16" s="1" t="s">
        <v>9</v>
      </c>
      <c r="B16" s="12">
        <f t="shared" si="7"/>
        <v>0.23333333333333334</v>
      </c>
      <c r="C16" s="7">
        <v>37</v>
      </c>
      <c r="D16" s="12">
        <f t="shared" si="8"/>
        <v>-0.58333333333333337</v>
      </c>
      <c r="E16" s="7">
        <v>30</v>
      </c>
      <c r="F16" s="6"/>
      <c r="G16" s="7">
        <v>72</v>
      </c>
      <c r="H16" s="24"/>
      <c r="I16" s="12">
        <f t="shared" si="9"/>
        <v>-1.2166666666666666</v>
      </c>
      <c r="J16" s="7">
        <v>-13</v>
      </c>
      <c r="K16" s="12">
        <f t="shared" si="10"/>
        <v>-0.16666666666666666</v>
      </c>
      <c r="L16" s="7">
        <v>60</v>
      </c>
      <c r="M16" s="6"/>
      <c r="N16" s="7">
        <v>72</v>
      </c>
      <c r="P16" s="1" t="s">
        <v>35</v>
      </c>
      <c r="Q16" s="12">
        <f t="shared" si="2"/>
        <v>8.2781456953642391E-2</v>
      </c>
      <c r="R16" s="4">
        <v>6213</v>
      </c>
      <c r="S16" s="4"/>
      <c r="T16" s="4">
        <v>5738</v>
      </c>
      <c r="U16" s="4"/>
      <c r="V16" s="4">
        <v>5658</v>
      </c>
      <c r="W16" s="12">
        <f t="shared" si="3"/>
        <v>-0.17309843400447428</v>
      </c>
      <c r="X16" s="4">
        <v>2957</v>
      </c>
      <c r="Y16" s="4"/>
      <c r="Z16" s="4">
        <v>3576</v>
      </c>
      <c r="AA16" s="4"/>
      <c r="AB16" s="4">
        <v>3744</v>
      </c>
    </row>
    <row r="17" spans="1:28">
      <c r="A17" s="2" t="s">
        <v>10</v>
      </c>
      <c r="B17" s="12">
        <f t="shared" si="7"/>
        <v>0.19016587677725119</v>
      </c>
      <c r="C17" s="6">
        <f>SUM(C14:C16)</f>
        <v>2009</v>
      </c>
      <c r="D17" s="12">
        <f t="shared" si="8"/>
        <v>1.581039755351682</v>
      </c>
      <c r="E17" s="6">
        <f>SUM(E14:E16)</f>
        <v>1688</v>
      </c>
      <c r="F17" s="6"/>
      <c r="G17" s="6">
        <f>SUM(G14:G16)</f>
        <v>654</v>
      </c>
      <c r="H17" s="6"/>
      <c r="I17" s="12">
        <f t="shared" si="9"/>
        <v>-3.8224878264718902</v>
      </c>
      <c r="J17" s="6">
        <f>SUM(J14:J16)</f>
        <v>-6376</v>
      </c>
      <c r="K17" s="12">
        <f t="shared" si="10"/>
        <v>9.8201263976665051E-2</v>
      </c>
      <c r="L17" s="6">
        <f>SUM(L14:L16)</f>
        <v>2259</v>
      </c>
      <c r="M17" s="6"/>
      <c r="N17" s="6">
        <f>SUM(N14:N16)</f>
        <v>2057</v>
      </c>
      <c r="P17" s="1" t="s">
        <v>36</v>
      </c>
      <c r="Q17" s="12">
        <f t="shared" si="2"/>
        <v>2.1238138273836422E-2</v>
      </c>
      <c r="R17" s="4">
        <v>2260</v>
      </c>
      <c r="S17" s="4"/>
      <c r="T17" s="4">
        <v>2213</v>
      </c>
      <c r="U17" s="4"/>
      <c r="V17" s="4">
        <v>2144</v>
      </c>
      <c r="W17" s="12">
        <f t="shared" si="3"/>
        <v>-3.1506849315068496E-2</v>
      </c>
      <c r="X17" s="4">
        <v>2121</v>
      </c>
      <c r="Y17" s="4"/>
      <c r="Z17" s="4">
        <v>2190</v>
      </c>
      <c r="AA17" s="4"/>
      <c r="AB17" s="4">
        <v>2525</v>
      </c>
    </row>
    <row r="18" spans="1:28">
      <c r="A18" s="1" t="s">
        <v>11</v>
      </c>
      <c r="B18" s="12">
        <f t="shared" si="7"/>
        <v>0.12361331220285261</v>
      </c>
      <c r="C18" s="7">
        <v>-709</v>
      </c>
      <c r="D18" s="12">
        <f t="shared" si="8"/>
        <v>0.66052631578947374</v>
      </c>
      <c r="E18" s="7">
        <v>-631</v>
      </c>
      <c r="F18" s="6"/>
      <c r="G18" s="7">
        <v>-380</v>
      </c>
      <c r="H18" s="24"/>
      <c r="I18" s="12">
        <f t="shared" si="9"/>
        <v>-2.8933717579250722</v>
      </c>
      <c r="J18" s="7">
        <v>657</v>
      </c>
      <c r="K18" s="12">
        <f t="shared" si="10"/>
        <v>-0.34404536862003782</v>
      </c>
      <c r="L18" s="7">
        <v>-347</v>
      </c>
      <c r="M18" s="6"/>
      <c r="N18" s="7">
        <v>-529</v>
      </c>
      <c r="P18" s="1" t="s">
        <v>31</v>
      </c>
      <c r="Q18" s="12">
        <f t="shared" si="2"/>
        <v>6.1782055262340888E-2</v>
      </c>
      <c r="R18" s="4">
        <v>3420</v>
      </c>
      <c r="S18" s="4"/>
      <c r="T18" s="4">
        <v>3221</v>
      </c>
      <c r="U18" s="4"/>
      <c r="V18" s="4">
        <v>3286</v>
      </c>
      <c r="W18" s="12">
        <f t="shared" si="3"/>
        <v>2.941970310391363E-2</v>
      </c>
      <c r="X18" s="4">
        <v>3814</v>
      </c>
      <c r="Y18" s="4"/>
      <c r="Z18" s="4">
        <v>3705</v>
      </c>
      <c r="AA18" s="4"/>
      <c r="AB18" s="4">
        <v>3094</v>
      </c>
    </row>
    <row r="19" spans="1:28">
      <c r="A19" s="2" t="s">
        <v>12</v>
      </c>
      <c r="B19" s="12">
        <f t="shared" si="7"/>
        <v>0.22989593188268684</v>
      </c>
      <c r="C19" s="6">
        <f>SUM(C17:C18)</f>
        <v>1300</v>
      </c>
      <c r="D19" s="12">
        <f t="shared" si="8"/>
        <v>2.8576642335766422</v>
      </c>
      <c r="E19" s="6">
        <f>SUM(E17:E18)</f>
        <v>1057</v>
      </c>
      <c r="F19" s="6"/>
      <c r="G19" s="6">
        <f>SUM(G17:G18)</f>
        <v>274</v>
      </c>
      <c r="H19" s="6"/>
      <c r="I19" s="12">
        <f t="shared" si="9"/>
        <v>-3.9911087866108788</v>
      </c>
      <c r="J19" s="6">
        <f>SUM(J17:J18)</f>
        <v>-5719</v>
      </c>
      <c r="K19" s="12">
        <f t="shared" si="10"/>
        <v>0.2513089005235602</v>
      </c>
      <c r="L19" s="6">
        <f>SUM(L17:L18)</f>
        <v>1912</v>
      </c>
      <c r="M19" s="6"/>
      <c r="N19" s="6">
        <f>SUM(N17:N18)</f>
        <v>1528</v>
      </c>
      <c r="P19" s="1" t="s">
        <v>37</v>
      </c>
      <c r="Q19" s="12">
        <f t="shared" si="2"/>
        <v>0.3018276762402089</v>
      </c>
      <c r="R19" s="4">
        <v>2493</v>
      </c>
      <c r="S19" s="4"/>
      <c r="T19" s="4">
        <f>359+715+841</f>
        <v>1915</v>
      </c>
      <c r="U19" s="4"/>
      <c r="V19">
        <f>352+520+789</f>
        <v>1661</v>
      </c>
      <c r="W19" s="12">
        <f t="shared" si="3"/>
        <v>0.83695652173913049</v>
      </c>
      <c r="X19" s="4">
        <v>169</v>
      </c>
      <c r="Y19" s="4"/>
      <c r="Z19" s="4">
        <f>80+12</f>
        <v>92</v>
      </c>
      <c r="AA19" s="4"/>
      <c r="AB19" s="4">
        <f>58+10</f>
        <v>68</v>
      </c>
    </row>
    <row r="20" spans="1:28">
      <c r="A20" s="1" t="s">
        <v>13</v>
      </c>
      <c r="B20" s="12">
        <f t="shared" si="7"/>
        <v>-0.78104575163398693</v>
      </c>
      <c r="C20" s="6">
        <v>67</v>
      </c>
      <c r="D20" s="12">
        <f t="shared" si="8"/>
        <v>-0.71375116931711879</v>
      </c>
      <c r="E20" s="6">
        <v>306</v>
      </c>
      <c r="F20" s="6"/>
      <c r="G20" s="6">
        <v>1069</v>
      </c>
      <c r="H20" s="6"/>
      <c r="I20" s="12">
        <f t="shared" si="9"/>
        <v>-0.95010615711252655</v>
      </c>
      <c r="J20" s="6">
        <v>-47</v>
      </c>
      <c r="K20" s="12">
        <f t="shared" si="10"/>
        <v>-0.37367021276595747</v>
      </c>
      <c r="L20" s="6">
        <v>-942</v>
      </c>
      <c r="M20" s="6"/>
      <c r="N20" s="6">
        <v>-1504</v>
      </c>
      <c r="P20" s="1" t="s">
        <v>59</v>
      </c>
      <c r="Q20" s="12"/>
      <c r="W20" s="12">
        <f t="shared" si="3"/>
        <v>-0.41633858267716534</v>
      </c>
      <c r="X20" s="4">
        <v>593</v>
      </c>
      <c r="Z20" s="4">
        <v>1016</v>
      </c>
      <c r="AA20" s="4"/>
      <c r="AB20" s="4">
        <v>522</v>
      </c>
    </row>
    <row r="21" spans="1:28">
      <c r="A21" s="2" t="s">
        <v>14</v>
      </c>
      <c r="B21" s="12">
        <f t="shared" si="7"/>
        <v>2.93470286133529E-3</v>
      </c>
      <c r="C21" s="8">
        <f>SUM(C19:C20)</f>
        <v>1367</v>
      </c>
      <c r="D21" s="12">
        <f t="shared" si="8"/>
        <v>1.4892032762472078E-2</v>
      </c>
      <c r="E21" s="8">
        <f>SUM(E19:E20)</f>
        <v>1363</v>
      </c>
      <c r="F21" s="6"/>
      <c r="G21" s="8">
        <f>SUM(G19:G20)</f>
        <v>1343</v>
      </c>
      <c r="H21" s="24"/>
      <c r="I21" s="12">
        <f t="shared" si="9"/>
        <v>-6.9443298969072167</v>
      </c>
      <c r="J21" s="8">
        <f>SUM(J19:J20)</f>
        <v>-5766</v>
      </c>
      <c r="K21" s="12">
        <f t="shared" si="10"/>
        <v>39.416666666666664</v>
      </c>
      <c r="L21" s="8">
        <f>SUM(L19:L20)</f>
        <v>970</v>
      </c>
      <c r="M21" s="6"/>
      <c r="N21" s="8">
        <f>SUM(N19:N20)</f>
        <v>24</v>
      </c>
      <c r="P21" s="1" t="s">
        <v>38</v>
      </c>
      <c r="Q21" s="12">
        <f t="shared" si="2"/>
        <v>-0.34559596384275804</v>
      </c>
      <c r="R21" s="4">
        <v>3113</v>
      </c>
      <c r="S21" s="4"/>
      <c r="T21" s="4">
        <v>4757</v>
      </c>
      <c r="U21" s="4"/>
      <c r="V21" s="4">
        <v>6573</v>
      </c>
      <c r="W21" s="12">
        <f t="shared" si="3"/>
        <v>-0.13607342378292098</v>
      </c>
      <c r="X21" s="4">
        <v>2165</v>
      </c>
      <c r="Y21" s="4"/>
      <c r="Z21" s="4">
        <v>2506</v>
      </c>
      <c r="AA21" s="4"/>
      <c r="AB21" s="4">
        <v>2512</v>
      </c>
    </row>
    <row r="22" spans="1:28">
      <c r="A22" s="1" t="s">
        <v>76</v>
      </c>
      <c r="B22" s="5"/>
      <c r="C22" s="5">
        <v>1249</v>
      </c>
      <c r="D22" s="5"/>
      <c r="E22" s="5">
        <v>1263</v>
      </c>
      <c r="F22" s="5"/>
      <c r="G22" s="5">
        <v>1259</v>
      </c>
      <c r="H22" s="5"/>
      <c r="I22" s="11"/>
      <c r="J22" s="5">
        <v>-5741</v>
      </c>
      <c r="L22" s="5">
        <v>974</v>
      </c>
      <c r="M22" s="5"/>
      <c r="N22" s="5">
        <v>28</v>
      </c>
      <c r="P22" s="1" t="s">
        <v>39</v>
      </c>
      <c r="Q22" s="43">
        <f t="shared" si="2"/>
        <v>-0.83774834437086088</v>
      </c>
      <c r="R22" s="16">
        <v>49</v>
      </c>
      <c r="S22" s="4"/>
      <c r="T22" s="16">
        <v>302</v>
      </c>
      <c r="U22" s="4"/>
      <c r="V22" s="16">
        <v>465</v>
      </c>
      <c r="W22" s="43">
        <f t="shared" si="3"/>
        <v>-0.94410936871733009</v>
      </c>
      <c r="X22" s="16">
        <v>139</v>
      </c>
      <c r="Y22" s="4"/>
      <c r="Z22" s="16">
        <v>2487</v>
      </c>
      <c r="AA22" s="4"/>
      <c r="AB22" s="16">
        <v>631</v>
      </c>
    </row>
    <row r="23" spans="1:28">
      <c r="A23" s="1" t="s">
        <v>77</v>
      </c>
      <c r="B23"/>
      <c r="C23" s="5">
        <v>118</v>
      </c>
      <c r="E23" s="5">
        <v>101</v>
      </c>
      <c r="G23" s="5">
        <v>83</v>
      </c>
      <c r="H23" s="5"/>
      <c r="I23" s="11"/>
      <c r="J23" s="5">
        <v>-25</v>
      </c>
      <c r="L23" s="5">
        <v>-4</v>
      </c>
      <c r="N23" s="5">
        <v>-4</v>
      </c>
      <c r="P23" s="2" t="s">
        <v>40</v>
      </c>
      <c r="Q23" s="48">
        <f t="shared" si="2"/>
        <v>-3.2954921194753663E-2</v>
      </c>
      <c r="R23" s="4">
        <f>SUM(R16:R22)</f>
        <v>17548</v>
      </c>
      <c r="S23" s="4"/>
      <c r="T23" s="4">
        <f>SUM(T16:T22)</f>
        <v>18146</v>
      </c>
      <c r="U23" s="4"/>
      <c r="V23" s="4">
        <f>SUM(V16:V22)</f>
        <v>19787</v>
      </c>
      <c r="W23" s="43">
        <f t="shared" si="3"/>
        <v>-0.23208322630362188</v>
      </c>
      <c r="X23" s="4">
        <f>SUM(X16:X22)</f>
        <v>11958</v>
      </c>
      <c r="Y23" s="4"/>
      <c r="Z23" s="4">
        <f>SUM(Z16:Z22)</f>
        <v>15572</v>
      </c>
      <c r="AA23" s="4"/>
      <c r="AB23" s="4">
        <f>SUM(AB16:AB22)</f>
        <v>13096</v>
      </c>
    </row>
    <row r="24" spans="1:28">
      <c r="B24"/>
      <c r="C24" s="23">
        <f>SUM(C22:C23)</f>
        <v>1367</v>
      </c>
      <c r="E24" s="23">
        <f>SUM(E22:E23)</f>
        <v>1364</v>
      </c>
      <c r="G24" s="23">
        <f>SUM(G22:G23)</f>
        <v>1342</v>
      </c>
      <c r="H24" s="25"/>
      <c r="I24" s="11"/>
      <c r="J24" s="23">
        <f>SUM(J22:J23)</f>
        <v>-5766</v>
      </c>
      <c r="L24" s="23">
        <f>SUM(L22:L23)</f>
        <v>970</v>
      </c>
      <c r="N24" s="23">
        <f>SUM(N22:N23)</f>
        <v>24</v>
      </c>
      <c r="P24" s="3" t="s">
        <v>41</v>
      </c>
      <c r="Q24" s="43">
        <f t="shared" si="2"/>
        <v>5.1026029472524444E-2</v>
      </c>
      <c r="R24" s="17">
        <f>R15+R23</f>
        <v>45789</v>
      </c>
      <c r="S24" s="4"/>
      <c r="T24" s="17">
        <f>T15+T23</f>
        <v>43566</v>
      </c>
      <c r="U24" s="4"/>
      <c r="V24" s="17">
        <f>V15+V23</f>
        <v>46006</v>
      </c>
      <c r="W24" s="43">
        <f t="shared" si="3"/>
        <v>-0.11861095606410972</v>
      </c>
      <c r="X24" s="17">
        <f>X15+X23</f>
        <v>44214</v>
      </c>
      <c r="Y24" s="4"/>
      <c r="Z24" s="17">
        <f>Z15+Z23</f>
        <v>50164</v>
      </c>
      <c r="AA24" s="4"/>
      <c r="AB24" s="17">
        <f>AB15+AB23</f>
        <v>50129</v>
      </c>
    </row>
    <row r="25" spans="1:28">
      <c r="P25" s="3" t="s">
        <v>43</v>
      </c>
      <c r="R25" s="4"/>
      <c r="S25" s="4"/>
      <c r="T25" s="4"/>
      <c r="U25" s="4"/>
      <c r="V25" s="4"/>
      <c r="X25" s="4"/>
      <c r="Y25" s="4"/>
      <c r="Z25" s="4"/>
      <c r="AA25" s="4"/>
      <c r="AB25" s="4"/>
    </row>
    <row r="26" spans="1:28">
      <c r="A26" s="41" t="s">
        <v>15</v>
      </c>
      <c r="B26" s="30"/>
      <c r="C26" s="32"/>
      <c r="D26" s="30"/>
      <c r="E26" s="32"/>
      <c r="F26" s="32"/>
      <c r="G26" s="32"/>
      <c r="H26" s="32"/>
      <c r="I26" s="33"/>
      <c r="J26" s="32"/>
      <c r="K26" s="33"/>
      <c r="L26" s="32"/>
      <c r="M26" s="32"/>
      <c r="N26" s="32"/>
      <c r="P26" s="1" t="s">
        <v>44</v>
      </c>
      <c r="Q26" s="12">
        <f t="shared" ref="Q26:Q34" si="11">(R26-T26)/T26</f>
        <v>4.3969102792632206E-2</v>
      </c>
      <c r="R26" s="4">
        <v>1757</v>
      </c>
      <c r="S26" s="4"/>
      <c r="T26" s="4">
        <v>1683</v>
      </c>
      <c r="U26" s="4"/>
      <c r="V26" s="4">
        <v>2263</v>
      </c>
      <c r="W26" s="12">
        <f t="shared" ref="W26:W34" si="12">(X26-Z26)/Z26</f>
        <v>5.1308900523560207E-2</v>
      </c>
      <c r="X26" s="4">
        <v>2008</v>
      </c>
      <c r="Y26" s="4"/>
      <c r="Z26" s="4">
        <v>1910</v>
      </c>
      <c r="AA26" s="4"/>
      <c r="AB26" s="4">
        <v>766</v>
      </c>
    </row>
    <row r="27" spans="1:28">
      <c r="A27" s="42" t="s">
        <v>19</v>
      </c>
      <c r="B27" s="30"/>
      <c r="C27" s="31"/>
      <c r="D27" s="30"/>
      <c r="E27" s="31"/>
      <c r="F27" s="32"/>
      <c r="G27" s="31"/>
      <c r="H27" s="31"/>
      <c r="I27" s="33"/>
      <c r="J27" s="31"/>
      <c r="K27" s="33"/>
      <c r="L27" s="31"/>
      <c r="M27" s="32"/>
      <c r="N27" s="31"/>
      <c r="P27" s="1" t="s">
        <v>45</v>
      </c>
      <c r="Q27" s="12">
        <f t="shared" si="11"/>
        <v>4.1232301229189354E-2</v>
      </c>
      <c r="R27" s="4">
        <v>13384</v>
      </c>
      <c r="S27" s="4"/>
      <c r="T27" s="4">
        <v>12854</v>
      </c>
      <c r="U27" s="4"/>
      <c r="V27" s="4">
        <v>12925</v>
      </c>
      <c r="W27" s="12">
        <f t="shared" si="12"/>
        <v>-6.3520528551203395E-2</v>
      </c>
      <c r="X27" s="4">
        <v>9922</v>
      </c>
      <c r="Y27" s="4"/>
      <c r="Z27" s="4">
        <v>10595</v>
      </c>
      <c r="AA27" s="4"/>
      <c r="AB27" s="4">
        <v>11094</v>
      </c>
    </row>
    <row r="28" spans="1:28">
      <c r="A28" s="42" t="s">
        <v>16</v>
      </c>
      <c r="B28" s="30"/>
      <c r="C28" s="31"/>
      <c r="D28" s="30"/>
      <c r="E28" s="31"/>
      <c r="F28" s="32"/>
      <c r="G28" s="31"/>
      <c r="H28" s="31"/>
      <c r="I28" s="33"/>
      <c r="J28" s="31"/>
      <c r="K28" s="33"/>
      <c r="L28" s="31"/>
      <c r="M28" s="32"/>
      <c r="N28" s="31"/>
      <c r="P28" s="1" t="s">
        <v>46</v>
      </c>
      <c r="Q28" s="12">
        <f t="shared" si="11"/>
        <v>0.18219395866454691</v>
      </c>
      <c r="R28" s="4">
        <v>3718</v>
      </c>
      <c r="S28" s="4"/>
      <c r="T28" s="4">
        <v>3145</v>
      </c>
      <c r="U28" s="4"/>
      <c r="V28" s="4">
        <v>3032</v>
      </c>
      <c r="W28" s="12">
        <f t="shared" si="12"/>
        <v>2.3622047244094488E-2</v>
      </c>
      <c r="X28" s="4">
        <v>7020</v>
      </c>
      <c r="Y28" s="4"/>
      <c r="Z28" s="4">
        <v>6858</v>
      </c>
      <c r="AA28" s="4"/>
      <c r="AB28" s="4">
        <v>6015</v>
      </c>
    </row>
    <row r="29" spans="1:28">
      <c r="A29" s="42" t="s">
        <v>17</v>
      </c>
      <c r="B29" s="30"/>
      <c r="C29" s="31"/>
      <c r="D29" s="30"/>
      <c r="E29" s="31"/>
      <c r="F29" s="32"/>
      <c r="G29" s="31"/>
      <c r="H29" s="31"/>
      <c r="I29" s="33"/>
      <c r="J29" s="31"/>
      <c r="K29" s="33"/>
      <c r="L29" s="31"/>
      <c r="M29" s="32"/>
      <c r="N29" s="31"/>
      <c r="P29" s="1" t="s">
        <v>11</v>
      </c>
      <c r="Q29" s="12">
        <f t="shared" si="11"/>
        <v>0.12153110047846891</v>
      </c>
      <c r="R29" s="4">
        <v>1172</v>
      </c>
      <c r="S29" s="4"/>
      <c r="T29" s="4">
        <v>1045</v>
      </c>
      <c r="U29" s="4"/>
      <c r="V29" s="4">
        <v>1040</v>
      </c>
      <c r="W29" s="12">
        <f t="shared" si="12"/>
        <v>-0.80769230769230771</v>
      </c>
      <c r="X29" s="4">
        <v>95</v>
      </c>
      <c r="Y29" s="4"/>
      <c r="Z29" s="4">
        <v>494</v>
      </c>
      <c r="AA29" s="4"/>
      <c r="AB29" s="4">
        <v>519</v>
      </c>
    </row>
    <row r="30" spans="1:28">
      <c r="A30" s="42" t="s">
        <v>20</v>
      </c>
      <c r="B30" s="30"/>
      <c r="C30" s="31"/>
      <c r="D30" s="30"/>
      <c r="E30" s="31"/>
      <c r="F30" s="32"/>
      <c r="G30" s="31"/>
      <c r="H30" s="31"/>
      <c r="I30" s="33"/>
      <c r="J30" s="31"/>
      <c r="K30" s="33"/>
      <c r="L30" s="31"/>
      <c r="M30" s="32"/>
      <c r="N30" s="31"/>
      <c r="P30" s="1" t="s">
        <v>33</v>
      </c>
      <c r="Q30" s="12">
        <f t="shared" si="11"/>
        <v>9.3738689829895042E-2</v>
      </c>
      <c r="R30" s="4">
        <v>3022</v>
      </c>
      <c r="S30" s="4"/>
      <c r="T30" s="4">
        <v>2763</v>
      </c>
      <c r="U30" s="4"/>
      <c r="V30" s="4">
        <v>2422</v>
      </c>
      <c r="W30" s="12">
        <f t="shared" si="12"/>
        <v>1.177650429799427</v>
      </c>
      <c r="X30" s="4">
        <v>760</v>
      </c>
      <c r="Y30" s="4"/>
      <c r="Z30" s="4">
        <f>250+99</f>
        <v>349</v>
      </c>
      <c r="AA30" s="4"/>
      <c r="AB30" s="4">
        <f>188+121</f>
        <v>309</v>
      </c>
    </row>
    <row r="31" spans="1:28">
      <c r="A31" s="42" t="s">
        <v>18</v>
      </c>
      <c r="B31" s="30"/>
      <c r="C31" s="31"/>
      <c r="D31" s="30"/>
      <c r="E31" s="31"/>
      <c r="F31" s="32"/>
      <c r="G31" s="31"/>
      <c r="H31" s="31"/>
      <c r="I31" s="33"/>
      <c r="J31" s="31"/>
      <c r="K31" s="33"/>
      <c r="L31" s="31"/>
      <c r="M31" s="32"/>
      <c r="N31" s="31"/>
      <c r="P31" s="1" t="s">
        <v>48</v>
      </c>
      <c r="Q31" s="43">
        <f t="shared" si="11"/>
        <v>-0.95833333333333337</v>
      </c>
      <c r="R31" s="16">
        <v>1</v>
      </c>
      <c r="S31" s="4"/>
      <c r="T31" s="16">
        <v>24</v>
      </c>
      <c r="U31" s="4"/>
      <c r="V31" s="16">
        <v>273</v>
      </c>
      <c r="W31" s="43">
        <f t="shared" si="12"/>
        <v>-0.99580888516345345</v>
      </c>
      <c r="X31" s="16">
        <v>5</v>
      </c>
      <c r="Y31" s="4"/>
      <c r="Z31" s="16">
        <v>1193</v>
      </c>
      <c r="AA31" s="4"/>
      <c r="AB31" s="16">
        <v>282</v>
      </c>
    </row>
    <row r="32" spans="1:28">
      <c r="A32" s="42"/>
      <c r="B32" s="32"/>
      <c r="C32" s="32"/>
      <c r="D32" s="32"/>
      <c r="E32" s="32"/>
      <c r="F32" s="32"/>
      <c r="G32" s="32"/>
      <c r="H32" s="32"/>
      <c r="I32" s="33"/>
      <c r="J32" s="32"/>
      <c r="K32" s="33"/>
      <c r="L32" s="32"/>
      <c r="M32" s="32"/>
      <c r="N32" s="32"/>
      <c r="P32" s="2" t="s">
        <v>47</v>
      </c>
      <c r="Q32" s="12">
        <f t="shared" si="11"/>
        <v>7.1581295900343955E-2</v>
      </c>
      <c r="R32" s="4">
        <f>SUM(R26:R31)</f>
        <v>23054</v>
      </c>
      <c r="S32" s="4"/>
      <c r="T32" s="4">
        <f>SUM(T26:T31)</f>
        <v>21514</v>
      </c>
      <c r="U32" s="4"/>
      <c r="V32" s="4">
        <f>SUM(V26:V31)</f>
        <v>21955</v>
      </c>
      <c r="W32" s="12">
        <f t="shared" si="12"/>
        <v>-7.4255806346090941E-2</v>
      </c>
      <c r="X32" s="4">
        <f>SUM(X26:X31)</f>
        <v>19810</v>
      </c>
      <c r="Y32" s="4"/>
      <c r="Z32" s="4">
        <f>SUM(Z26:Z31)</f>
        <v>21399</v>
      </c>
      <c r="AA32" s="4"/>
      <c r="AB32" s="4">
        <f>SUM(AB26:AB31)</f>
        <v>18985</v>
      </c>
    </row>
    <row r="33" spans="1:28">
      <c r="A33" s="41" t="s">
        <v>60</v>
      </c>
      <c r="B33" s="32"/>
      <c r="C33" s="32"/>
      <c r="D33" s="32"/>
      <c r="E33" s="32"/>
      <c r="F33" s="32"/>
      <c r="G33" s="32"/>
      <c r="H33" s="32"/>
      <c r="I33" s="33"/>
      <c r="J33" s="32"/>
      <c r="K33" s="33"/>
      <c r="L33" s="32"/>
      <c r="M33" s="32"/>
      <c r="N33" s="32"/>
      <c r="P33" s="1" t="s">
        <v>49</v>
      </c>
      <c r="Q33" s="12">
        <f t="shared" si="11"/>
        <v>-9.7350993377483444E-2</v>
      </c>
      <c r="R33" s="4">
        <v>6815</v>
      </c>
      <c r="S33" s="4"/>
      <c r="T33" s="4">
        <v>7550</v>
      </c>
      <c r="U33" s="4"/>
      <c r="V33" s="4">
        <v>8983</v>
      </c>
      <c r="W33" s="12">
        <f t="shared" si="12"/>
        <v>5.738111783976968E-2</v>
      </c>
      <c r="X33" s="4">
        <v>10651</v>
      </c>
      <c r="Y33" s="4"/>
      <c r="Z33" s="4">
        <f>9303+770</f>
        <v>10073</v>
      </c>
      <c r="AA33" s="4"/>
      <c r="AB33" s="4">
        <f>10068+759</f>
        <v>10827</v>
      </c>
    </row>
    <row r="34" spans="1:28">
      <c r="A34" s="42" t="s">
        <v>61</v>
      </c>
      <c r="B34" s="32"/>
      <c r="C34" s="34"/>
      <c r="D34" s="32"/>
      <c r="E34" s="34"/>
      <c r="F34" s="34"/>
      <c r="G34" s="34"/>
      <c r="H34" s="34"/>
      <c r="I34" s="35"/>
      <c r="J34" s="34"/>
      <c r="K34" s="35"/>
      <c r="L34" s="34"/>
      <c r="M34" s="34"/>
      <c r="N34" s="34"/>
      <c r="P34" s="1" t="s">
        <v>50</v>
      </c>
      <c r="Q34" s="12">
        <f t="shared" si="11"/>
        <v>-1.0226644555002764E-2</v>
      </c>
      <c r="R34" s="4">
        <v>3581</v>
      </c>
      <c r="S34" s="4"/>
      <c r="T34" s="4">
        <v>3618</v>
      </c>
      <c r="U34" s="4"/>
      <c r="V34" s="4">
        <v>4475</v>
      </c>
      <c r="W34" s="12">
        <f t="shared" si="12"/>
        <v>0.64010663507109</v>
      </c>
      <c r="X34" s="4">
        <v>5537</v>
      </c>
      <c r="Y34" s="4"/>
      <c r="Z34" s="4">
        <f>3193+183</f>
        <v>3376</v>
      </c>
      <c r="AA34" s="4"/>
      <c r="AB34" s="4">
        <f>2378+272</f>
        <v>2650</v>
      </c>
    </row>
    <row r="35" spans="1:28">
      <c r="A35" s="42" t="s">
        <v>62</v>
      </c>
      <c r="B35" s="32"/>
      <c r="C35" s="34"/>
      <c r="D35" s="32"/>
      <c r="E35" s="34"/>
      <c r="F35" s="34"/>
      <c r="G35" s="34"/>
      <c r="H35" s="34"/>
      <c r="I35" s="35"/>
      <c r="J35" s="34"/>
      <c r="K35" s="35"/>
      <c r="L35" s="34"/>
      <c r="M35" s="34"/>
      <c r="N35" s="34"/>
      <c r="P35" s="1" t="s">
        <v>46</v>
      </c>
      <c r="Q35" s="46"/>
      <c r="R35" s="4">
        <v>1589</v>
      </c>
      <c r="S35" s="4"/>
      <c r="T35" s="4">
        <v>1765</v>
      </c>
      <c r="U35" s="4"/>
      <c r="V35" s="4">
        <v>1966</v>
      </c>
      <c r="W35" s="46"/>
      <c r="X35" s="4"/>
      <c r="Y35" s="4"/>
      <c r="Z35" s="4"/>
      <c r="AA35" s="4"/>
      <c r="AB35" s="4"/>
    </row>
    <row r="36" spans="1:28">
      <c r="A36" s="42"/>
      <c r="B36" s="32"/>
      <c r="C36" s="32"/>
      <c r="D36" s="32"/>
      <c r="E36" s="32"/>
      <c r="F36" s="32"/>
      <c r="G36" s="32"/>
      <c r="H36" s="32"/>
      <c r="I36" s="33"/>
      <c r="J36" s="32"/>
      <c r="K36" s="33"/>
      <c r="L36" s="32"/>
      <c r="M36" s="32"/>
      <c r="N36" s="32"/>
      <c r="P36" s="1" t="s">
        <v>33</v>
      </c>
      <c r="Q36" s="43">
        <f t="shared" ref="Q36:Q43" si="13">(R36-T36)/T36</f>
        <v>3.838771593090211E-3</v>
      </c>
      <c r="R36" s="16">
        <v>523</v>
      </c>
      <c r="S36" s="4"/>
      <c r="T36" s="16">
        <v>521</v>
      </c>
      <c r="U36" s="4"/>
      <c r="V36" s="16">
        <v>580</v>
      </c>
      <c r="W36" s="43">
        <f t="shared" ref="W36:W43" si="14">(X36-Z36)/Z36</f>
        <v>0.92760942760942766</v>
      </c>
      <c r="X36" s="16">
        <v>1145</v>
      </c>
      <c r="Y36" s="4"/>
      <c r="Z36" s="16">
        <v>594</v>
      </c>
      <c r="AB36" s="16">
        <v>1006</v>
      </c>
    </row>
    <row r="37" spans="1:28">
      <c r="A37" s="41" t="s">
        <v>63</v>
      </c>
      <c r="B37" s="32"/>
      <c r="C37" s="32"/>
      <c r="D37" s="32"/>
      <c r="E37" s="32"/>
      <c r="F37" s="32"/>
      <c r="G37" s="32"/>
      <c r="H37" s="32"/>
      <c r="I37" s="33"/>
      <c r="J37" s="32"/>
      <c r="K37" s="33"/>
      <c r="L37" s="32"/>
      <c r="M37" s="32"/>
      <c r="N37" s="32"/>
      <c r="P37" s="2" t="s">
        <v>51</v>
      </c>
      <c r="Q37" s="12">
        <f t="shared" si="13"/>
        <v>-7.0313661364649921E-2</v>
      </c>
      <c r="R37" s="4">
        <f>SUM(R33:R36)</f>
        <v>12508</v>
      </c>
      <c r="S37" s="4"/>
      <c r="T37" s="4">
        <f>SUM(T33:T36)</f>
        <v>13454</v>
      </c>
      <c r="U37" s="4"/>
      <c r="V37" s="4">
        <f>SUM(V33:V36)</f>
        <v>16004</v>
      </c>
      <c r="W37" s="12">
        <f t="shared" si="14"/>
        <v>0.23428042441073846</v>
      </c>
      <c r="X37" s="4">
        <f>SUM(X33:X36)</f>
        <v>17333</v>
      </c>
      <c r="Y37" s="4"/>
      <c r="Z37" s="4">
        <f>SUM(Z33:Z36)</f>
        <v>14043</v>
      </c>
      <c r="AB37" s="4">
        <f>SUM(AB33:AB36)</f>
        <v>14483</v>
      </c>
    </row>
    <row r="38" spans="1:28">
      <c r="A38" s="42" t="s">
        <v>64</v>
      </c>
      <c r="B38" s="32"/>
      <c r="C38" s="36"/>
      <c r="D38" s="32"/>
      <c r="E38" s="36"/>
      <c r="F38" s="32"/>
      <c r="G38" s="36"/>
      <c r="H38" s="36"/>
      <c r="I38" s="33"/>
      <c r="J38" s="36"/>
      <c r="K38" s="33"/>
      <c r="L38" s="36"/>
      <c r="M38" s="32"/>
      <c r="N38" s="36"/>
      <c r="P38" s="1" t="s">
        <v>52</v>
      </c>
      <c r="Q38" s="12">
        <f t="shared" si="13"/>
        <v>1.4917127071823204E-2</v>
      </c>
      <c r="R38" s="4">
        <v>1837</v>
      </c>
      <c r="T38" s="4">
        <v>1810</v>
      </c>
      <c r="V38" s="4">
        <v>1773</v>
      </c>
      <c r="W38" s="12">
        <f t="shared" si="14"/>
        <v>2.4691358024691358E-3</v>
      </c>
      <c r="X38" s="4">
        <v>406</v>
      </c>
      <c r="Z38" s="4">
        <v>405</v>
      </c>
      <c r="AB38" s="4">
        <v>403</v>
      </c>
    </row>
    <row r="39" spans="1:28">
      <c r="A39" s="42" t="s">
        <v>65</v>
      </c>
      <c r="B39" s="32"/>
      <c r="C39" s="36"/>
      <c r="D39" s="32"/>
      <c r="E39" s="36"/>
      <c r="F39" s="32"/>
      <c r="G39" s="36"/>
      <c r="H39" s="36"/>
      <c r="I39" s="33"/>
      <c r="J39" s="36"/>
      <c r="K39" s="33"/>
      <c r="L39" s="36"/>
      <c r="M39" s="32"/>
      <c r="N39" s="36"/>
      <c r="P39" s="1" t="s">
        <v>53</v>
      </c>
      <c r="Q39" s="43">
        <f t="shared" si="13"/>
        <v>0.21859463042757707</v>
      </c>
      <c r="R39" s="16">
        <v>7353</v>
      </c>
      <c r="T39" s="16">
        <v>6034</v>
      </c>
      <c r="V39" s="16">
        <v>5408</v>
      </c>
      <c r="W39" s="43">
        <f t="shared" si="14"/>
        <v>-0.53424178895877006</v>
      </c>
      <c r="X39" s="16">
        <v>6665</v>
      </c>
      <c r="Z39" s="16">
        <f>5080-498+9728</f>
        <v>14310</v>
      </c>
      <c r="AB39" s="16">
        <f>5020+685+10535</f>
        <v>16240</v>
      </c>
    </row>
    <row r="40" spans="1:28">
      <c r="A40" s="42" t="s">
        <v>67</v>
      </c>
      <c r="B40" s="32"/>
      <c r="C40" s="37"/>
      <c r="D40" s="32"/>
      <c r="E40" s="37"/>
      <c r="F40" s="32"/>
      <c r="G40" s="37"/>
      <c r="H40" s="37"/>
      <c r="I40" s="33"/>
      <c r="J40" s="37"/>
      <c r="K40" s="33"/>
      <c r="L40" s="37"/>
      <c r="M40" s="32"/>
      <c r="N40" s="37"/>
      <c r="P40" s="1" t="s">
        <v>54</v>
      </c>
      <c r="Q40" s="12">
        <f t="shared" si="13"/>
        <v>0.17159612442631311</v>
      </c>
      <c r="R40" s="18">
        <f>SUM(R38:R39)</f>
        <v>9190</v>
      </c>
      <c r="T40" s="18">
        <f>SUM(T38:T39)</f>
        <v>7844</v>
      </c>
      <c r="V40" s="18">
        <f>SUM(V38:V39)</f>
        <v>7181</v>
      </c>
      <c r="W40" s="12">
        <f t="shared" si="14"/>
        <v>-0.51946992864424058</v>
      </c>
      <c r="X40" s="18">
        <f>SUM(X38:X39)</f>
        <v>7071</v>
      </c>
      <c r="Z40" s="18">
        <f>SUM(Z38:Z39)</f>
        <v>14715</v>
      </c>
      <c r="AB40" s="18">
        <f>SUM(AB38:AB39)</f>
        <v>16643</v>
      </c>
    </row>
    <row r="41" spans="1:28" ht="30">
      <c r="A41" s="42" t="s">
        <v>68</v>
      </c>
      <c r="B41" s="32"/>
      <c r="C41" s="36"/>
      <c r="D41" s="32"/>
      <c r="E41" s="36"/>
      <c r="F41" s="32"/>
      <c r="G41" s="36"/>
      <c r="H41" s="36"/>
      <c r="I41" s="33"/>
      <c r="J41" s="36"/>
      <c r="K41" s="33"/>
      <c r="L41" s="36"/>
      <c r="M41" s="32"/>
      <c r="N41" s="36"/>
      <c r="P41" s="1" t="s">
        <v>55</v>
      </c>
      <c r="Q41" s="43">
        <f t="shared" si="13"/>
        <v>0.37533156498673742</v>
      </c>
      <c r="R41" s="16">
        <v>1037</v>
      </c>
      <c r="T41" s="16">
        <v>754</v>
      </c>
      <c r="V41" s="16">
        <v>866</v>
      </c>
      <c r="W41" s="43">
        <f t="shared" si="14"/>
        <v>-1</v>
      </c>
      <c r="X41" s="16"/>
      <c r="Y41" s="4"/>
      <c r="Z41" s="16">
        <v>7</v>
      </c>
      <c r="AA41" s="4"/>
      <c r="AB41" s="16">
        <v>18</v>
      </c>
    </row>
    <row r="42" spans="1:28">
      <c r="A42" s="42" t="s">
        <v>66</v>
      </c>
      <c r="B42" s="32"/>
      <c r="C42" s="36"/>
      <c r="D42" s="32"/>
      <c r="E42" s="36"/>
      <c r="F42" s="32"/>
      <c r="G42" s="36"/>
      <c r="H42" s="36"/>
      <c r="I42" s="33"/>
      <c r="J42" s="36"/>
      <c r="K42" s="33"/>
      <c r="L42" s="36"/>
      <c r="M42" s="32"/>
      <c r="N42" s="36"/>
      <c r="P42" s="2" t="s">
        <v>56</v>
      </c>
      <c r="Q42" s="43">
        <f t="shared" si="13"/>
        <v>0.18946266573621773</v>
      </c>
      <c r="R42" s="18">
        <f>SUM(R40:R41)</f>
        <v>10227</v>
      </c>
      <c r="T42" s="18">
        <f>SUM(T40:T41)</f>
        <v>8598</v>
      </c>
      <c r="V42" s="18">
        <f>SUM(V40:V41)</f>
        <v>8047</v>
      </c>
      <c r="W42" s="43">
        <f t="shared" si="14"/>
        <v>-0.51969841054204591</v>
      </c>
      <c r="X42" s="18">
        <f>SUM(X40:X41)</f>
        <v>7071</v>
      </c>
      <c r="Z42" s="18">
        <f>SUM(Z40:Z41)</f>
        <v>14722</v>
      </c>
      <c r="AB42" s="18">
        <f>SUM(AB40:AB41)</f>
        <v>16661</v>
      </c>
    </row>
    <row r="43" spans="1:28">
      <c r="A43" s="42"/>
      <c r="B43" s="32"/>
      <c r="C43" s="32"/>
      <c r="D43" s="32"/>
      <c r="E43" s="32"/>
      <c r="F43" s="32"/>
      <c r="G43" s="32"/>
      <c r="H43" s="32"/>
      <c r="I43" s="33"/>
      <c r="J43" s="32"/>
      <c r="K43" s="33"/>
      <c r="L43" s="32"/>
      <c r="M43" s="32"/>
      <c r="N43" s="32"/>
      <c r="P43" s="3" t="s">
        <v>57</v>
      </c>
      <c r="Q43" s="43">
        <f t="shared" si="13"/>
        <v>5.1026029472524444E-2</v>
      </c>
      <c r="R43" s="19">
        <f>R32+R37+R42</f>
        <v>45789</v>
      </c>
      <c r="T43" s="19">
        <f>T32+T37+T42</f>
        <v>43566</v>
      </c>
      <c r="V43" s="19">
        <f>V32+V37+V42</f>
        <v>46006</v>
      </c>
      <c r="W43" s="43">
        <f t="shared" si="14"/>
        <v>-0.11861095606410972</v>
      </c>
      <c r="X43" s="19">
        <f>X32+X37+X42</f>
        <v>44214</v>
      </c>
      <c r="Z43" s="19">
        <f>Z32+Z37+Z42</f>
        <v>50164</v>
      </c>
      <c r="AB43" s="19">
        <f>AB32+AB37+AB42</f>
        <v>50129</v>
      </c>
    </row>
    <row r="44" spans="1:28">
      <c r="A44" s="41" t="s">
        <v>69</v>
      </c>
      <c r="B44" s="32"/>
      <c r="C44" s="32"/>
      <c r="D44" s="32"/>
      <c r="E44" s="32"/>
      <c r="F44" s="32"/>
      <c r="G44" s="32"/>
      <c r="H44" s="32"/>
      <c r="I44" s="33"/>
      <c r="J44" s="32"/>
      <c r="K44" s="33"/>
      <c r="L44" s="32"/>
      <c r="M44" s="32"/>
      <c r="N44" s="32"/>
      <c r="Q44" s="47"/>
      <c r="W44" s="47"/>
    </row>
    <row r="45" spans="1:28">
      <c r="A45" s="42" t="s">
        <v>70</v>
      </c>
      <c r="B45" s="32"/>
      <c r="C45" s="36"/>
      <c r="D45" s="32"/>
      <c r="E45" s="36"/>
      <c r="F45" s="32"/>
      <c r="G45" s="36"/>
      <c r="H45" s="36"/>
      <c r="I45" s="33"/>
      <c r="J45" s="38"/>
      <c r="K45" s="33"/>
      <c r="L45" s="32"/>
      <c r="M45" s="32"/>
      <c r="N45" s="32"/>
      <c r="P45" s="1" t="s">
        <v>81</v>
      </c>
      <c r="Q45" s="12">
        <f t="shared" ref="Q45:Q49" si="15">(R45-T45)/T45</f>
        <v>1.5096623822416277E-2</v>
      </c>
      <c r="R45" s="4">
        <v>734913909</v>
      </c>
      <c r="T45" s="4">
        <v>723984192</v>
      </c>
      <c r="U45" s="4"/>
      <c r="V45" s="4">
        <v>709214653</v>
      </c>
      <c r="W45" s="12">
        <f t="shared" ref="W45:W49" si="16">(X45-Z45)/Z45</f>
        <v>0</v>
      </c>
      <c r="X45" s="4">
        <v>8095821091</v>
      </c>
      <c r="Z45" s="4">
        <v>8095821091</v>
      </c>
      <c r="AA45" s="4"/>
      <c r="AB45" s="4">
        <v>8054054930</v>
      </c>
    </row>
    <row r="46" spans="1:28" ht="15" customHeight="1">
      <c r="A46" s="42" t="s">
        <v>71</v>
      </c>
      <c r="B46" s="32"/>
      <c r="C46" s="36"/>
      <c r="D46" s="32"/>
      <c r="E46" s="36"/>
      <c r="F46" s="32"/>
      <c r="G46" s="36"/>
      <c r="H46" s="36"/>
      <c r="I46" s="33"/>
      <c r="J46" s="36"/>
      <c r="K46" s="33"/>
      <c r="L46" s="36"/>
      <c r="M46" s="32"/>
      <c r="N46" s="36"/>
      <c r="P46" s="1" t="s">
        <v>78</v>
      </c>
      <c r="Q46" s="12">
        <f t="shared" si="15"/>
        <v>1.8015830910323265E-2</v>
      </c>
      <c r="R46" s="4">
        <v>707397621</v>
      </c>
      <c r="T46" s="4">
        <v>694878802</v>
      </c>
      <c r="U46" s="4"/>
      <c r="V46" s="4">
        <v>682639812</v>
      </c>
      <c r="W46" s="12">
        <f t="shared" si="16"/>
        <v>4.8339117501239462E-3</v>
      </c>
      <c r="X46" s="4">
        <v>8107000000</v>
      </c>
      <c r="Z46" s="4">
        <v>8068000000</v>
      </c>
      <c r="AA46" s="4"/>
      <c r="AB46" s="4">
        <v>8033000000</v>
      </c>
    </row>
    <row r="47" spans="1:28">
      <c r="A47" s="42" t="s">
        <v>72</v>
      </c>
      <c r="B47" s="32"/>
      <c r="C47" s="36"/>
      <c r="D47" s="32"/>
      <c r="E47" s="36"/>
      <c r="F47" s="32"/>
      <c r="G47" s="36"/>
      <c r="H47" s="36"/>
      <c r="I47" s="33"/>
      <c r="J47" s="36"/>
      <c r="K47" s="33"/>
      <c r="L47" s="36"/>
      <c r="M47" s="32"/>
      <c r="N47" s="36"/>
      <c r="P47" s="1" t="s">
        <v>79</v>
      </c>
      <c r="Q47" s="12">
        <f t="shared" si="15"/>
        <v>-0.12183269698021514</v>
      </c>
      <c r="R47">
        <v>25.3</v>
      </c>
      <c r="T47">
        <v>28.81</v>
      </c>
      <c r="V47">
        <v>19.350000000000001</v>
      </c>
      <c r="W47" s="12">
        <f t="shared" si="16"/>
        <v>-0.2677905415485603</v>
      </c>
      <c r="X47">
        <v>245.4</v>
      </c>
      <c r="Z47">
        <v>335.15</v>
      </c>
      <c r="AB47" s="22">
        <v>363.8</v>
      </c>
    </row>
    <row r="48" spans="1:28">
      <c r="A48" s="42" t="s">
        <v>73</v>
      </c>
      <c r="B48" s="32"/>
      <c r="C48" s="39"/>
      <c r="D48" s="32"/>
      <c r="E48" s="39"/>
      <c r="F48" s="32"/>
      <c r="G48" s="39"/>
      <c r="H48" s="39"/>
      <c r="I48" s="33"/>
      <c r="J48" s="39"/>
      <c r="K48" s="33"/>
      <c r="L48" s="39"/>
      <c r="M48" s="32"/>
      <c r="N48" s="39"/>
      <c r="P48" s="1" t="s">
        <v>80</v>
      </c>
      <c r="Q48" s="12">
        <f t="shared" si="15"/>
        <v>9.6774193548387177E-2</v>
      </c>
      <c r="R48">
        <v>0.68</v>
      </c>
      <c r="T48">
        <v>0.62</v>
      </c>
      <c r="V48">
        <v>0.57999999999999996</v>
      </c>
      <c r="W48" s="12">
        <f t="shared" si="16"/>
        <v>-0.92140921409214094</v>
      </c>
      <c r="X48">
        <v>1.1599999999999999</v>
      </c>
      <c r="Z48">
        <v>14.76</v>
      </c>
      <c r="AB48">
        <v>14.76</v>
      </c>
    </row>
    <row r="49" spans="1:28">
      <c r="A49" s="42" t="s">
        <v>74</v>
      </c>
      <c r="B49" s="32"/>
      <c r="C49" s="40"/>
      <c r="D49" s="32"/>
      <c r="E49" s="40"/>
      <c r="F49" s="32"/>
      <c r="G49" s="40"/>
      <c r="H49" s="40"/>
      <c r="I49" s="33"/>
      <c r="J49" s="40"/>
      <c r="K49" s="33"/>
      <c r="L49" s="40"/>
      <c r="M49" s="32"/>
      <c r="N49" s="40"/>
      <c r="P49" s="1" t="s">
        <v>84</v>
      </c>
      <c r="Q49" s="12">
        <f t="shared" si="15"/>
        <v>-0.10857533555337964</v>
      </c>
      <c r="R49" s="21">
        <f>R47*R45/1000000</f>
        <v>18593.3218977</v>
      </c>
      <c r="T49" s="21">
        <f>T47*T45/1000000</f>
        <v>20857.984571519999</v>
      </c>
      <c r="V49" s="21">
        <f>V47*V45/1000000</f>
        <v>13723.303535550001</v>
      </c>
      <c r="W49" s="12">
        <f t="shared" si="16"/>
        <v>-0.2641798163957777</v>
      </c>
      <c r="X49" s="27">
        <f>X45*X47/100000000</f>
        <v>19867.144957314002</v>
      </c>
      <c r="Z49" s="4">
        <v>27000</v>
      </c>
      <c r="AB49" s="4">
        <v>29981000</v>
      </c>
    </row>
    <row r="50" spans="1:28">
      <c r="A50" s="42" t="s">
        <v>75</v>
      </c>
      <c r="B50" s="32"/>
      <c r="C50" s="40"/>
      <c r="D50" s="32"/>
      <c r="E50" s="40"/>
      <c r="F50" s="32"/>
      <c r="G50" s="40"/>
      <c r="H50" s="40"/>
      <c r="I50" s="33"/>
      <c r="J50" s="40"/>
      <c r="K50" s="33"/>
      <c r="L50" s="40"/>
      <c r="M50" s="32"/>
      <c r="N50" s="40"/>
      <c r="Q50" s="47"/>
      <c r="W50" s="47"/>
    </row>
    <row r="51" spans="1:28">
      <c r="A51" s="51" t="s">
        <v>97</v>
      </c>
      <c r="M51" s="4"/>
    </row>
  </sheetData>
  <mergeCells count="4">
    <mergeCell ref="B1:G1"/>
    <mergeCell ref="I1:N1"/>
    <mergeCell ref="R1:V1"/>
    <mergeCell ref="X1:AB1"/>
  </mergeCells>
  <phoneticPr fontId="8" type="noConversion"/>
  <pageMargins left="0.75000000000000011" right="0.75000000000000011" top="1" bottom="1" header="0.5" footer="0.5"/>
  <pageSetup paperSize="9" scale="44" orientation="landscape" horizontalDpi="4294967292" verticalDpi="4294967292"/>
  <headerFooter>
    <oddHeader>&amp;L&amp;"Calibri,Regular"&amp;K000000Session 4 SM 3 Common Size Analysis - Exercise</oddHeader>
    <oddFooter>&amp;L&amp;"Calibri,Regular"&amp;K000000A86045 Accounting and Financial Reporting&amp;R&amp;"Calibri,Regular"&amp;K000000Paul G. Smith</oddFooter>
  </headerFooter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Completed Sheet</vt:lpstr>
      <vt:lpstr>Data Sheet (2)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</dc:creator>
  <cp:lastModifiedBy>Paul Smith</cp:lastModifiedBy>
  <cp:lastPrinted>2016-02-22T09:04:43Z</cp:lastPrinted>
  <dcterms:created xsi:type="dcterms:W3CDTF">2015-02-02T13:06:00Z</dcterms:created>
  <dcterms:modified xsi:type="dcterms:W3CDTF">2018-01-30T11:39:22Z</dcterms:modified>
</cp:coreProperties>
</file>