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0400" yWindow="520" windowWidth="33340" windowHeight="24060" tabRatio="500" activeTab="1"/>
  </bookViews>
  <sheets>
    <sheet name="Blank" sheetId="1" r:id="rId1"/>
    <sheet name="Ratios" sheetId="2" r:id="rId2"/>
  </sheets>
  <definedNames>
    <definedName name="_xlnm.Print_Area" localSheetId="0">Blank!$A$1:$M$56</definedName>
    <definedName name="_xlnm.Print_Area" localSheetId="1">Ratios!$A$1:$M$56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2" l="1"/>
  <c r="C37" i="2"/>
  <c r="K49" i="1"/>
  <c r="J50" i="1"/>
  <c r="E53" i="2"/>
  <c r="C53" i="2"/>
  <c r="J50" i="2"/>
  <c r="K49" i="2"/>
  <c r="E49" i="2"/>
  <c r="C49" i="2"/>
  <c r="M48" i="2"/>
  <c r="E56" i="2"/>
  <c r="K48" i="2"/>
  <c r="C56" i="2"/>
  <c r="E55" i="2"/>
  <c r="C55" i="2"/>
  <c r="M22" i="2"/>
  <c r="M13" i="2"/>
  <c r="M24" i="2"/>
  <c r="E54" i="2"/>
  <c r="K22" i="2"/>
  <c r="K13" i="2"/>
  <c r="K24" i="2"/>
  <c r="C54" i="2"/>
  <c r="E7" i="2"/>
  <c r="E8" i="2"/>
  <c r="C7" i="2"/>
  <c r="C8" i="2"/>
  <c r="E10" i="2"/>
  <c r="E13" i="2"/>
  <c r="E15" i="2"/>
  <c r="E16" i="2"/>
  <c r="E17" i="2"/>
  <c r="E19" i="2"/>
  <c r="E52" i="2"/>
  <c r="C10" i="2"/>
  <c r="C13" i="2"/>
  <c r="C15" i="2"/>
  <c r="C16" i="2"/>
  <c r="C17" i="2"/>
  <c r="C19" i="2"/>
  <c r="C52" i="2"/>
  <c r="M49" i="2"/>
  <c r="J49" i="2"/>
  <c r="J48" i="2"/>
  <c r="E48" i="2"/>
  <c r="K36" i="2"/>
  <c r="C48" i="2"/>
  <c r="J47" i="2"/>
  <c r="E47" i="2"/>
  <c r="C47" i="2"/>
  <c r="J46" i="2"/>
  <c r="E21" i="2"/>
  <c r="E23" i="2"/>
  <c r="E44" i="2"/>
  <c r="E46" i="2"/>
  <c r="C21" i="2"/>
  <c r="C23" i="2"/>
  <c r="C44" i="2"/>
  <c r="C46" i="2"/>
  <c r="E45" i="2"/>
  <c r="C45" i="2"/>
  <c r="M27" i="2"/>
  <c r="M32" i="2"/>
  <c r="M34" i="2"/>
  <c r="M40" i="2"/>
  <c r="M41" i="2"/>
  <c r="M43" i="2"/>
  <c r="K27" i="2"/>
  <c r="K32" i="2"/>
  <c r="K34" i="2"/>
  <c r="K40" i="2"/>
  <c r="K41" i="2"/>
  <c r="K43" i="2"/>
  <c r="J43" i="2"/>
  <c r="J42" i="2"/>
  <c r="E41" i="2"/>
  <c r="C41" i="2"/>
  <c r="J40" i="2"/>
  <c r="E40" i="2"/>
  <c r="C40" i="2"/>
  <c r="J39" i="2"/>
  <c r="E39" i="2"/>
  <c r="C39" i="2"/>
  <c r="J38" i="2"/>
  <c r="E38" i="2"/>
  <c r="C38" i="2"/>
  <c r="J37" i="2"/>
  <c r="J36" i="2"/>
  <c r="J34" i="2"/>
  <c r="E34" i="2"/>
  <c r="C34" i="2"/>
  <c r="J33" i="2"/>
  <c r="E33" i="2"/>
  <c r="C33" i="2"/>
  <c r="J32" i="2"/>
  <c r="J31" i="2"/>
  <c r="J30" i="2"/>
  <c r="E30" i="2"/>
  <c r="C30" i="2"/>
  <c r="J29" i="2"/>
  <c r="E29" i="2"/>
  <c r="C29" i="2"/>
  <c r="J28" i="2"/>
  <c r="E28" i="2"/>
  <c r="C28" i="2"/>
  <c r="J27" i="2"/>
  <c r="E27" i="2"/>
  <c r="C27" i="2"/>
  <c r="E26" i="2"/>
  <c r="C26" i="2"/>
  <c r="J24" i="2"/>
  <c r="D23" i="2"/>
  <c r="B23" i="2"/>
  <c r="J22" i="2"/>
  <c r="D22" i="2"/>
  <c r="B22" i="2"/>
  <c r="J21" i="2"/>
  <c r="D21" i="2"/>
  <c r="B21" i="2"/>
  <c r="J20" i="2"/>
  <c r="D20" i="2"/>
  <c r="B20" i="2"/>
  <c r="J19" i="2"/>
  <c r="D19" i="2"/>
  <c r="B19" i="2"/>
  <c r="J18" i="2"/>
  <c r="D18" i="2"/>
  <c r="B18" i="2"/>
  <c r="J17" i="2"/>
  <c r="D17" i="2"/>
  <c r="B17" i="2"/>
  <c r="J16" i="2"/>
  <c r="D16" i="2"/>
  <c r="B16" i="2"/>
  <c r="J15" i="2"/>
  <c r="D15" i="2"/>
  <c r="B15" i="2"/>
  <c r="D14" i="2"/>
  <c r="B14" i="2"/>
  <c r="J13" i="2"/>
  <c r="D13" i="2"/>
  <c r="B13" i="2"/>
  <c r="J12" i="2"/>
  <c r="D12" i="2"/>
  <c r="B12" i="2"/>
  <c r="J11" i="2"/>
  <c r="D11" i="2"/>
  <c r="B11" i="2"/>
  <c r="J10" i="2"/>
  <c r="D10" i="2"/>
  <c r="B10" i="2"/>
  <c r="J9" i="2"/>
  <c r="D9" i="2"/>
  <c r="B9" i="2"/>
  <c r="J8" i="2"/>
  <c r="D8" i="2"/>
  <c r="B8" i="2"/>
  <c r="J7" i="2"/>
  <c r="D7" i="2"/>
  <c r="B7" i="2"/>
  <c r="J6" i="2"/>
  <c r="D6" i="2"/>
  <c r="B6" i="2"/>
  <c r="M49" i="1"/>
  <c r="M48" i="1"/>
  <c r="M32" i="1"/>
  <c r="M27" i="1"/>
  <c r="M40" i="1"/>
  <c r="K32" i="1"/>
  <c r="K27" i="1"/>
  <c r="K40" i="1"/>
  <c r="K36" i="1"/>
  <c r="E17" i="1"/>
  <c r="E15" i="1"/>
  <c r="E16" i="1"/>
  <c r="E13" i="1"/>
  <c r="E7" i="1"/>
  <c r="C17" i="1"/>
  <c r="C13" i="1"/>
  <c r="C15" i="1"/>
  <c r="C7" i="1"/>
  <c r="K48" i="1"/>
  <c r="M22" i="1"/>
  <c r="M13" i="1"/>
  <c r="M24" i="1"/>
  <c r="K22" i="1"/>
  <c r="K13" i="1"/>
  <c r="K24" i="1"/>
  <c r="E8" i="1"/>
  <c r="C8" i="1"/>
  <c r="E10" i="1"/>
  <c r="E19" i="1"/>
  <c r="C10" i="1"/>
  <c r="C16" i="1"/>
  <c r="C19" i="1"/>
  <c r="J49" i="1"/>
  <c r="J48" i="1"/>
  <c r="J47" i="1"/>
  <c r="J46" i="1"/>
  <c r="E21" i="1"/>
  <c r="E23" i="1"/>
  <c r="C21" i="1"/>
  <c r="C23" i="1"/>
  <c r="M34" i="1"/>
  <c r="M41" i="1"/>
  <c r="M43" i="1"/>
  <c r="K34" i="1"/>
  <c r="K41" i="1"/>
  <c r="K43" i="1"/>
  <c r="J43" i="1"/>
  <c r="J42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4" i="1"/>
  <c r="D23" i="1"/>
  <c r="B23" i="1"/>
  <c r="J22" i="1"/>
  <c r="D22" i="1"/>
  <c r="B22" i="1"/>
  <c r="J21" i="1"/>
  <c r="D21" i="1"/>
  <c r="B21" i="1"/>
  <c r="J20" i="1"/>
  <c r="D20" i="1"/>
  <c r="B20" i="1"/>
  <c r="J19" i="1"/>
  <c r="D19" i="1"/>
  <c r="B19" i="1"/>
  <c r="J18" i="1"/>
  <c r="D18" i="1"/>
  <c r="B18" i="1"/>
  <c r="J17" i="1"/>
  <c r="D17" i="1"/>
  <c r="B17" i="1"/>
  <c r="J16" i="1"/>
  <c r="D16" i="1"/>
  <c r="B16" i="1"/>
  <c r="J15" i="1"/>
  <c r="D15" i="1"/>
  <c r="B15" i="1"/>
  <c r="D14" i="1"/>
  <c r="B14" i="1"/>
  <c r="J13" i="1"/>
  <c r="D13" i="1"/>
  <c r="B13" i="1"/>
  <c r="J12" i="1"/>
  <c r="D12" i="1"/>
  <c r="B12" i="1"/>
  <c r="J11" i="1"/>
  <c r="D11" i="1"/>
  <c r="B11" i="1"/>
  <c r="J10" i="1"/>
  <c r="D10" i="1"/>
  <c r="B10" i="1"/>
  <c r="J9" i="1"/>
  <c r="D9" i="1"/>
  <c r="B9" i="1"/>
  <c r="J8" i="1"/>
  <c r="D8" i="1"/>
  <c r="B8" i="1"/>
  <c r="J7" i="1"/>
  <c r="D7" i="1"/>
  <c r="B7" i="1"/>
  <c r="J6" i="1"/>
  <c r="D6" i="1"/>
  <c r="B6" i="1"/>
</calcChain>
</file>

<file path=xl/sharedStrings.xml><?xml version="1.0" encoding="utf-8"?>
<sst xmlns="http://schemas.openxmlformats.org/spreadsheetml/2006/main" count="255" uniqueCount="97">
  <si>
    <t>Research assignment template</t>
  </si>
  <si>
    <t>% Change</t>
  </si>
  <si>
    <t>On PY</t>
  </si>
  <si>
    <t>2014</t>
  </si>
  <si>
    <t>Income Statement</t>
  </si>
  <si>
    <t>Statement of financial position</t>
  </si>
  <si>
    <t>€ millions</t>
  </si>
  <si>
    <t>Non-current assets</t>
  </si>
  <si>
    <t>Net sales</t>
  </si>
  <si>
    <t>Other revenues</t>
  </si>
  <si>
    <t>Intangible assets</t>
  </si>
  <si>
    <t>Total revenues</t>
  </si>
  <si>
    <t>Property, plant &amp; equipment</t>
  </si>
  <si>
    <t>Cost of sales</t>
  </si>
  <si>
    <t>Investments</t>
  </si>
  <si>
    <t>Gross profit</t>
  </si>
  <si>
    <t>Loans and advances to customers</t>
  </si>
  <si>
    <t>Operating expenses</t>
  </si>
  <si>
    <t>Deferred taxes</t>
  </si>
  <si>
    <t>Research &amp; development</t>
  </si>
  <si>
    <t xml:space="preserve">Other </t>
  </si>
  <si>
    <t>Selling, general and administrative expenses</t>
  </si>
  <si>
    <t>Depreciation, ammortization and provisions</t>
  </si>
  <si>
    <t>Current assets</t>
  </si>
  <si>
    <t>Other income (expense)</t>
  </si>
  <si>
    <t>Inventories/Long-term contracts</t>
  </si>
  <si>
    <t>Operating profit</t>
  </si>
  <si>
    <t>Trade receivables</t>
  </si>
  <si>
    <t>Finance income (expense)</t>
  </si>
  <si>
    <t>Share of result of associated companies</t>
  </si>
  <si>
    <t>Other current assets</t>
  </si>
  <si>
    <t>Pre-tax profit</t>
  </si>
  <si>
    <t>Short-term investments</t>
  </si>
  <si>
    <t>Income tax</t>
  </si>
  <si>
    <t>Cash</t>
  </si>
  <si>
    <t>Net profit continuing operations</t>
  </si>
  <si>
    <t>Assets held for disposal</t>
  </si>
  <si>
    <t>Discontinued operations</t>
  </si>
  <si>
    <t>Net profit</t>
  </si>
  <si>
    <t>Total assets</t>
  </si>
  <si>
    <t>Profitability</t>
  </si>
  <si>
    <t>Gross margin (Gross profit/Revenues)</t>
  </si>
  <si>
    <t>%</t>
  </si>
  <si>
    <t>Current liabilities</t>
  </si>
  <si>
    <t>Operating margin (Operating profit/Revenues)</t>
  </si>
  <si>
    <t>Short-term Borrowings</t>
  </si>
  <si>
    <t>Net profit margin (Net profit/Revenues)</t>
  </si>
  <si>
    <t>Trade payables</t>
  </si>
  <si>
    <t>Return on equity (Net profit/Shareholders' equity)</t>
  </si>
  <si>
    <t>Consumer credit finance</t>
  </si>
  <si>
    <t>Return on Capital employed (PBIT/Shareholders' equity + Long-term debt)</t>
  </si>
  <si>
    <t>Income taxes</t>
  </si>
  <si>
    <t>Provisions</t>
  </si>
  <si>
    <t>Liquidity</t>
  </si>
  <si>
    <t>Other current liabilities</t>
  </si>
  <si>
    <t>Current ratio (Current assets/Current liabilities)</t>
  </si>
  <si>
    <t>Ratio:1</t>
  </si>
  <si>
    <t>Liabilities held for disposal</t>
  </si>
  <si>
    <t>Quick ratio (Current assets - inventory/Current liabilities)</t>
  </si>
  <si>
    <t>Non-current liabilities</t>
  </si>
  <si>
    <t>Efficiency ratios</t>
  </si>
  <si>
    <t>Long-term Borrowings</t>
  </si>
  <si>
    <t>Asset Turnover (Sales/Non-current assets)</t>
  </si>
  <si>
    <t>Times</t>
  </si>
  <si>
    <t>Inventory holding period (DOI) (Cost of sales/inventory x 365)</t>
  </si>
  <si>
    <t>Days</t>
  </si>
  <si>
    <t>Inventory turnover (Cost of sales/inventory)</t>
  </si>
  <si>
    <t>Pensions and employee benefits</t>
  </si>
  <si>
    <t>Trade receivables collection period (DSO)</t>
  </si>
  <si>
    <t>Trade payable payment period (DPO)</t>
  </si>
  <si>
    <t>Shareholders' equity</t>
  </si>
  <si>
    <t>Investment ratios</t>
  </si>
  <si>
    <t>Total equity and liabilities</t>
  </si>
  <si>
    <t>Earnings per share (EPS) (Net income/Weighted average number of shares outstanding)</t>
  </si>
  <si>
    <t>Currency</t>
  </si>
  <si>
    <t>Price Earnings ratio (P/E) (Share price/EPS)</t>
  </si>
  <si>
    <t>Dividend cover (Earnings per share/Dividend per share</t>
  </si>
  <si>
    <t>Number of shares outstanding</t>
  </si>
  <si>
    <t>Dividend yield (Dividend per share / Share price)</t>
  </si>
  <si>
    <t>Share price</t>
  </si>
  <si>
    <t>Debt/Equity ratio (Gearing) /Long-term debt/Shareholders' equity)</t>
  </si>
  <si>
    <t>Ratio</t>
  </si>
  <si>
    <t>Market capitalization</t>
  </si>
  <si>
    <t>Interest cover (Profit before interest and taxation/interest expense)</t>
  </si>
  <si>
    <t>Dividend per share</t>
  </si>
  <si>
    <t>Other</t>
  </si>
  <si>
    <t>R&amp;D as a % of revenues (R&amp;D expenses/Sales)</t>
  </si>
  <si>
    <t>Intangibles as a % of total assets (Goodwill and intangible assets/Total assets)</t>
  </si>
  <si>
    <t>Intangibles as a % of equity (Goodwill and Intangible Assets/Shareholders' equity)</t>
  </si>
  <si>
    <t>Market capitalization as a % shareholders' equity</t>
  </si>
  <si>
    <t>Effective tax rate (Income tax expense/Profit before taxation)*-1</t>
  </si>
  <si>
    <t>2015</t>
  </si>
  <si>
    <t>Goodwil</t>
  </si>
  <si>
    <t>Investment properties</t>
  </si>
  <si>
    <r>
      <t xml:space="preserve">Company </t>
    </r>
    <r>
      <rPr>
        <b/>
        <sz val="12"/>
        <color theme="1"/>
        <rFont val="Calibri"/>
        <family val="2"/>
        <scheme val="minor"/>
      </rPr>
      <t xml:space="preserve">Good Group </t>
    </r>
  </si>
  <si>
    <t>2016</t>
  </si>
  <si>
    <t>R&amp;D Expenditues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</si>
</sst>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(#,##0\)"/>
    <numFmt numFmtId="165" formatCode="#,##0.0;\(#,##0.0\)"/>
    <numFmt numFmtId="166" formatCode="0.0"/>
    <numFmt numFmtId="167" formatCode="#,##0.00;\(#,##0.00\)"/>
    <numFmt numFmtId="168" formatCode="#,##0.000;\(#,##0.000\)"/>
    <numFmt numFmtId="169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66FF"/>
      <name val="Calibri"/>
      <scheme val="minor"/>
    </font>
    <font>
      <b/>
      <sz val="12"/>
      <color rgb="FF3366FF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164" fontId="0" fillId="0" borderId="1" xfId="0" applyNumberFormat="1" applyBorder="1"/>
    <xf numFmtId="164" fontId="6" fillId="0" borderId="0" xfId="0" applyNumberFormat="1" applyFont="1" applyAlignment="1">
      <alignment horizontal="right"/>
    </xf>
    <xf numFmtId="164" fontId="0" fillId="0" borderId="0" xfId="0" applyNumberFormat="1" applyBorder="1"/>
    <xf numFmtId="164" fontId="0" fillId="0" borderId="2" xfId="0" applyNumberFormat="1" applyBorder="1"/>
    <xf numFmtId="9" fontId="0" fillId="0" borderId="0" xfId="1" applyFont="1"/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7" fontId="0" fillId="0" borderId="3" xfId="0" applyNumberFormat="1" applyBorder="1"/>
    <xf numFmtId="167" fontId="0" fillId="0" borderId="1" xfId="0" applyNumberFormat="1" applyBorder="1"/>
    <xf numFmtId="0" fontId="0" fillId="0" borderId="0" xfId="0" applyAlignment="1">
      <alignment wrapText="1"/>
    </xf>
    <xf numFmtId="168" fontId="0" fillId="0" borderId="3" xfId="0" applyNumberFormat="1" applyBorder="1"/>
    <xf numFmtId="164" fontId="0" fillId="0" borderId="3" xfId="0" applyNumberFormat="1" applyBorder="1"/>
    <xf numFmtId="169" fontId="0" fillId="0" borderId="0" xfId="1" applyNumberFormat="1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109331</xdr:colOff>
      <xdr:row>52</xdr:row>
      <xdr:rowOff>57975</xdr:rowOff>
    </xdr:from>
    <xdr:to>
      <xdr:col>10</xdr:col>
      <xdr:colOff>8283</xdr:colOff>
      <xdr:row>57</xdr:row>
      <xdr:rowOff>96074</xdr:rowOff>
    </xdr:to>
    <xdr:sp macro="" textlink="">
      <xdr:nvSpPr>
        <xdr:cNvPr id="2" name="TextBox 1"/>
        <xdr:cNvSpPr txBox="1"/>
      </xdr:nvSpPr>
      <xdr:spPr>
        <a:xfrm>
          <a:off x="11359874" y="10190366"/>
          <a:ext cx="3170583" cy="1004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81722</xdr:colOff>
      <xdr:row>52</xdr:row>
      <xdr:rowOff>85584</xdr:rowOff>
    </xdr:from>
    <xdr:to>
      <xdr:col>9</xdr:col>
      <xdr:colOff>795131</xdr:colOff>
      <xdr:row>57</xdr:row>
      <xdr:rowOff>123683</xdr:rowOff>
    </xdr:to>
    <xdr:sp macro="" textlink="">
      <xdr:nvSpPr>
        <xdr:cNvPr id="2" name="TextBox 1"/>
        <xdr:cNvSpPr txBox="1"/>
      </xdr:nvSpPr>
      <xdr:spPr>
        <a:xfrm>
          <a:off x="11332265" y="10217975"/>
          <a:ext cx="3170583" cy="1004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6"/>
  <sheetViews>
    <sheetView zoomScale="92" zoomScaleNormal="92" zoomScalePageLayoutView="92" workbookViewId="0">
      <selection activeCell="P39" sqref="P39"/>
    </sheetView>
  </sheetViews>
  <sheetFormatPr baseColWidth="10" defaultRowHeight="15" x14ac:dyDescent="0"/>
  <cols>
    <col min="1" max="1" width="67" style="1" customWidth="1"/>
    <col min="2" max="2" width="14" style="2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8" width="10.83203125" style="1"/>
    <col min="9" max="9" width="32.1640625" style="1" customWidth="1"/>
    <col min="10" max="10" width="10.6640625" style="3" customWidth="1"/>
    <col min="11" max="11" width="14" style="1" bestFit="1" customWidth="1"/>
    <col min="12" max="12" width="5" style="1" customWidth="1"/>
    <col min="13" max="13" width="14.6640625" style="1" customWidth="1"/>
    <col min="14" max="16384" width="10.83203125" style="1"/>
  </cols>
  <sheetData>
    <row r="1" spans="1:13">
      <c r="A1" s="1" t="s">
        <v>0</v>
      </c>
    </row>
    <row r="2" spans="1:13">
      <c r="A2" s="1" t="s">
        <v>94</v>
      </c>
      <c r="B2" s="2" t="s">
        <v>1</v>
      </c>
      <c r="D2" s="2" t="s">
        <v>1</v>
      </c>
      <c r="J2" s="2" t="s">
        <v>1</v>
      </c>
    </row>
    <row r="3" spans="1:13">
      <c r="B3" s="4" t="s">
        <v>2</v>
      </c>
      <c r="C3" s="5" t="s">
        <v>95</v>
      </c>
      <c r="D3" s="4" t="s">
        <v>2</v>
      </c>
      <c r="E3" s="5" t="s">
        <v>91</v>
      </c>
      <c r="F3" s="5"/>
      <c r="G3">
        <v>2013</v>
      </c>
      <c r="H3" s="5"/>
      <c r="I3" s="5"/>
      <c r="J3" s="4" t="s">
        <v>2</v>
      </c>
      <c r="K3" s="5" t="s">
        <v>95</v>
      </c>
      <c r="L3" s="5"/>
      <c r="M3" s="5" t="s">
        <v>91</v>
      </c>
    </row>
    <row r="4" spans="1:13">
      <c r="A4" s="6" t="s">
        <v>4</v>
      </c>
      <c r="B4" s="7"/>
      <c r="G4"/>
      <c r="I4" s="6" t="s">
        <v>5</v>
      </c>
      <c r="J4" s="7"/>
      <c r="K4" s="3" t="s">
        <v>6</v>
      </c>
      <c r="M4" s="8" t="s">
        <v>6</v>
      </c>
    </row>
    <row r="5" spans="1:13">
      <c r="C5" s="3" t="s">
        <v>6</v>
      </c>
      <c r="D5" s="9"/>
      <c r="E5" s="3" t="s">
        <v>6</v>
      </c>
      <c r="F5" s="9"/>
      <c r="G5"/>
      <c r="H5" s="9"/>
      <c r="I5" s="10" t="s">
        <v>7</v>
      </c>
      <c r="J5" s="11"/>
    </row>
    <row r="6" spans="1:13">
      <c r="A6" s="1" t="s">
        <v>8</v>
      </c>
      <c r="B6" s="12">
        <f>(C6-E6)/E6</f>
        <v>0.13592328359674782</v>
      </c>
      <c r="C6" s="1">
        <v>161927</v>
      </c>
      <c r="D6" s="12" t="e">
        <f>(E6-G6)/G6</f>
        <v>#DIV/0!</v>
      </c>
      <c r="E6" s="1">
        <v>142551</v>
      </c>
      <c r="F6" s="3"/>
      <c r="G6"/>
      <c r="H6" s="3"/>
      <c r="I6" s="1" t="s">
        <v>92</v>
      </c>
      <c r="J6" s="12" t="e">
        <f>(K6-M6)/M6</f>
        <v>#DIV/0!</v>
      </c>
    </row>
    <row r="7" spans="1:13">
      <c r="A7" s="1" t="s">
        <v>9</v>
      </c>
      <c r="B7" s="12">
        <f t="shared" ref="B7:B23" si="0">(C7-E7)/E7</f>
        <v>3.4665624651110866E-2</v>
      </c>
      <c r="C7" s="13">
        <f>17131+1404</f>
        <v>18535</v>
      </c>
      <c r="D7" s="12" t="e">
        <f t="shared" ref="D7:D23" si="1">(E7-G7)/G7</f>
        <v>#DIV/0!</v>
      </c>
      <c r="E7" s="13">
        <f>16537+1377</f>
        <v>17914</v>
      </c>
      <c r="G7"/>
      <c r="H7" s="3"/>
      <c r="I7" s="1" t="s">
        <v>10</v>
      </c>
      <c r="J7" s="12">
        <f t="shared" ref="J7:J13" si="2">(K7-M7)/M7</f>
        <v>1.4457537586347013</v>
      </c>
      <c r="K7" s="1">
        <v>6019</v>
      </c>
      <c r="M7" s="1">
        <v>2461</v>
      </c>
    </row>
    <row r="8" spans="1:13">
      <c r="A8" s="14" t="s">
        <v>11</v>
      </c>
      <c r="B8" s="12">
        <f t="shared" si="0"/>
        <v>0.1246190758109245</v>
      </c>
      <c r="C8" s="1">
        <f>SUM(C6:C7)</f>
        <v>180462</v>
      </c>
      <c r="D8" s="12" t="e">
        <f t="shared" si="1"/>
        <v>#DIV/0!</v>
      </c>
      <c r="E8" s="1">
        <f>SUM(E6:E7)</f>
        <v>160465</v>
      </c>
      <c r="G8"/>
      <c r="H8" s="9"/>
      <c r="I8" s="1" t="s">
        <v>12</v>
      </c>
      <c r="J8" s="12">
        <f t="shared" si="2"/>
        <v>0.3555427678901722</v>
      </c>
      <c r="K8" s="1">
        <v>32979</v>
      </c>
      <c r="M8" s="1">
        <v>24329</v>
      </c>
    </row>
    <row r="9" spans="1:13">
      <c r="A9" s="1" t="s">
        <v>13</v>
      </c>
      <c r="B9" s="12">
        <f t="shared" si="0"/>
        <v>6.3581698939136663E-2</v>
      </c>
      <c r="C9" s="13">
        <v>-136549</v>
      </c>
      <c r="D9" s="12" t="e">
        <f t="shared" si="1"/>
        <v>#DIV/0!</v>
      </c>
      <c r="E9" s="13">
        <v>-128386</v>
      </c>
      <c r="F9" s="3"/>
      <c r="G9"/>
      <c r="H9" s="3"/>
      <c r="I9" s="1" t="s">
        <v>14</v>
      </c>
      <c r="J9" s="12">
        <f t="shared" si="2"/>
        <v>0.26669316375198726</v>
      </c>
      <c r="K9" s="1">
        <v>3187</v>
      </c>
      <c r="M9" s="1">
        <v>2516</v>
      </c>
    </row>
    <row r="10" spans="1:13">
      <c r="A10" s="14" t="s">
        <v>15</v>
      </c>
      <c r="B10" s="12">
        <f t="shared" si="0"/>
        <v>0.36890177374606442</v>
      </c>
      <c r="C10" s="1">
        <f>C8+C9</f>
        <v>43913</v>
      </c>
      <c r="D10" s="12" t="e">
        <f t="shared" si="1"/>
        <v>#DIV/0!</v>
      </c>
      <c r="E10" s="1">
        <f>E8+E9</f>
        <v>32079</v>
      </c>
      <c r="F10" s="9"/>
      <c r="G10"/>
      <c r="H10" s="3"/>
      <c r="I10" s="1" t="s">
        <v>93</v>
      </c>
      <c r="J10" s="12">
        <f t="shared" si="2"/>
        <v>0.11399223349617939</v>
      </c>
      <c r="K10" s="1">
        <v>8893</v>
      </c>
      <c r="M10" s="1">
        <v>7983</v>
      </c>
    </row>
    <row r="11" spans="1:13">
      <c r="A11" s="1" t="s">
        <v>17</v>
      </c>
      <c r="B11" s="12" t="e">
        <f t="shared" si="0"/>
        <v>#DIV/0!</v>
      </c>
      <c r="D11" s="12" t="e">
        <f t="shared" si="1"/>
        <v>#DIV/0!</v>
      </c>
      <c r="G11"/>
      <c r="H11" s="9"/>
      <c r="I11" s="1" t="s">
        <v>18</v>
      </c>
      <c r="J11" s="12">
        <f t="shared" si="2"/>
        <v>4.9315068493150684E-2</v>
      </c>
      <c r="K11" s="1">
        <v>383</v>
      </c>
      <c r="M11" s="1">
        <v>365</v>
      </c>
    </row>
    <row r="12" spans="1:13">
      <c r="A12" s="1" t="s">
        <v>19</v>
      </c>
      <c r="B12" s="12" t="e">
        <f t="shared" si="0"/>
        <v>#DIV/0!</v>
      </c>
      <c r="D12" s="12" t="e">
        <f t="shared" si="1"/>
        <v>#DIV/0!</v>
      </c>
      <c r="F12" s="3"/>
      <c r="G12"/>
      <c r="H12" s="3"/>
      <c r="I12" s="1" t="s">
        <v>20</v>
      </c>
      <c r="J12" s="12">
        <f t="shared" si="2"/>
        <v>0.84044686336293328</v>
      </c>
      <c r="K12" s="13">
        <v>6425</v>
      </c>
      <c r="M12" s="13">
        <v>3491</v>
      </c>
    </row>
    <row r="13" spans="1:13">
      <c r="A13" s="1" t="s">
        <v>21</v>
      </c>
      <c r="B13" s="12">
        <f t="shared" si="0"/>
        <v>0.29096337579617837</v>
      </c>
      <c r="C13" s="1">
        <f>-14001-18428</f>
        <v>-32429</v>
      </c>
      <c r="D13" s="12" t="e">
        <f t="shared" si="1"/>
        <v>#DIV/0!</v>
      </c>
      <c r="E13" s="1">
        <f>-12964-12156</f>
        <v>-25120</v>
      </c>
      <c r="G13"/>
      <c r="H13" s="3"/>
      <c r="J13" s="12">
        <f t="shared" si="2"/>
        <v>0.40687811398711871</v>
      </c>
      <c r="K13" s="15">
        <f>SUM(K6:K12)</f>
        <v>57886</v>
      </c>
      <c r="M13" s="15">
        <f>SUM(M6:M12)</f>
        <v>41145</v>
      </c>
    </row>
    <row r="14" spans="1:13">
      <c r="A14" s="1" t="s">
        <v>22</v>
      </c>
      <c r="B14" s="12" t="e">
        <f t="shared" si="0"/>
        <v>#DIV/0!</v>
      </c>
      <c r="D14" s="12" t="e">
        <f t="shared" si="1"/>
        <v>#DIV/0!</v>
      </c>
      <c r="G14"/>
      <c r="H14" s="9"/>
      <c r="I14" s="10" t="s">
        <v>23</v>
      </c>
      <c r="J14" s="11"/>
    </row>
    <row r="15" spans="1:13">
      <c r="A15" s="1" t="s">
        <v>24</v>
      </c>
      <c r="B15" s="12">
        <f t="shared" si="0"/>
        <v>-1.0537585421412301</v>
      </c>
      <c r="C15" s="13">
        <f>-2554+2436</f>
        <v>-118</v>
      </c>
      <c r="D15" s="12" t="e">
        <f t="shared" si="1"/>
        <v>#DIV/0!</v>
      </c>
      <c r="E15" s="13">
        <f>2548-353</f>
        <v>2195</v>
      </c>
      <c r="F15" s="3"/>
      <c r="G15"/>
      <c r="H15" s="3"/>
      <c r="I15" s="1" t="s">
        <v>25</v>
      </c>
      <c r="J15" s="12">
        <f t="shared" ref="J15:J22" si="3">(K15-M15)/M15</f>
        <v>-3.3475696562944884E-2</v>
      </c>
      <c r="K15" s="1">
        <v>23762</v>
      </c>
      <c r="M15" s="1">
        <v>24585</v>
      </c>
    </row>
    <row r="16" spans="1:13">
      <c r="A16" s="14" t="s">
        <v>26</v>
      </c>
      <c r="B16" s="12">
        <f t="shared" si="0"/>
        <v>0.24164299759667904</v>
      </c>
      <c r="C16" s="1">
        <f>SUM(C10:C15)</f>
        <v>11366</v>
      </c>
      <c r="D16" s="12" t="e">
        <f t="shared" si="1"/>
        <v>#DIV/0!</v>
      </c>
      <c r="E16" s="1">
        <f>SUM(E10:E15)</f>
        <v>9154</v>
      </c>
      <c r="F16" s="9"/>
      <c r="G16"/>
      <c r="H16" s="9"/>
      <c r="I16" s="1" t="s">
        <v>27</v>
      </c>
      <c r="J16" s="12">
        <f t="shared" si="3"/>
        <v>0.15172723194257515</v>
      </c>
      <c r="K16" s="1">
        <v>25672</v>
      </c>
      <c r="M16" s="1">
        <v>22290</v>
      </c>
    </row>
    <row r="17" spans="1:13">
      <c r="A17" s="1" t="s">
        <v>28</v>
      </c>
      <c r="B17" s="12">
        <f t="shared" si="0"/>
        <v>1.7543859649122806E-2</v>
      </c>
      <c r="C17" s="1">
        <f>-1264+336</f>
        <v>-928</v>
      </c>
      <c r="D17" s="12" t="e">
        <f t="shared" si="1"/>
        <v>#DIV/0!</v>
      </c>
      <c r="E17" s="1">
        <f>-1123+211</f>
        <v>-912</v>
      </c>
      <c r="F17" s="3"/>
      <c r="G17"/>
      <c r="I17" s="1" t="s">
        <v>16</v>
      </c>
      <c r="J17" s="12" t="e">
        <f t="shared" si="3"/>
        <v>#DIV/0!</v>
      </c>
    </row>
    <row r="18" spans="1:13">
      <c r="A18" s="1" t="s">
        <v>29</v>
      </c>
      <c r="B18" s="12">
        <f t="shared" si="0"/>
        <v>5.1724137931034482E-2</v>
      </c>
      <c r="C18" s="13">
        <v>671</v>
      </c>
      <c r="D18" s="12" t="e">
        <f t="shared" si="1"/>
        <v>#DIV/0!</v>
      </c>
      <c r="E18" s="13">
        <v>638</v>
      </c>
      <c r="F18" s="3"/>
      <c r="G18"/>
      <c r="I18" s="1" t="s">
        <v>30</v>
      </c>
      <c r="J18" s="12">
        <f t="shared" si="3"/>
        <v>0.47878787878787876</v>
      </c>
      <c r="K18" s="1">
        <v>244</v>
      </c>
      <c r="M18" s="1">
        <v>165</v>
      </c>
    </row>
    <row r="19" spans="1:13">
      <c r="A19" s="14" t="s">
        <v>31</v>
      </c>
      <c r="B19" s="12">
        <f t="shared" si="0"/>
        <v>0.25101351351351353</v>
      </c>
      <c r="C19" s="1">
        <f>SUM(C16:C18)</f>
        <v>11109</v>
      </c>
      <c r="D19" s="12" t="e">
        <f t="shared" si="1"/>
        <v>#DIV/0!</v>
      </c>
      <c r="E19" s="1">
        <f>SUM(E16:E18)</f>
        <v>8880</v>
      </c>
      <c r="F19" s="9"/>
      <c r="G19"/>
      <c r="I19" s="1" t="s">
        <v>32</v>
      </c>
      <c r="J19" s="12">
        <f t="shared" si="3"/>
        <v>2.6013071895424837</v>
      </c>
      <c r="K19" s="1">
        <v>551</v>
      </c>
      <c r="M19" s="1">
        <v>153</v>
      </c>
    </row>
    <row r="20" spans="1:13">
      <c r="A20" s="1" t="s">
        <v>33</v>
      </c>
      <c r="B20" s="12">
        <f t="shared" si="0"/>
        <v>0.38737124944021495</v>
      </c>
      <c r="C20" s="13">
        <v>-3098</v>
      </c>
      <c r="D20" s="12" t="e">
        <f t="shared" si="1"/>
        <v>#DIV/0!</v>
      </c>
      <c r="E20" s="13">
        <v>-2233</v>
      </c>
      <c r="F20" s="3"/>
      <c r="G20"/>
      <c r="I20" s="1" t="s">
        <v>34</v>
      </c>
      <c r="J20" s="12">
        <f t="shared" si="3"/>
        <v>0.14722445695897024</v>
      </c>
      <c r="K20" s="1">
        <v>17112</v>
      </c>
      <c r="M20" s="1">
        <v>14916</v>
      </c>
    </row>
    <row r="21" spans="1:13">
      <c r="A21" s="14" t="s">
        <v>35</v>
      </c>
      <c r="B21" s="12">
        <f t="shared" si="0"/>
        <v>0.20520535579960886</v>
      </c>
      <c r="C21" s="15">
        <f>SUM(C19:C20)</f>
        <v>8011</v>
      </c>
      <c r="D21" s="12" t="e">
        <f t="shared" si="1"/>
        <v>#DIV/0!</v>
      </c>
      <c r="E21" s="15">
        <f>SUM(E19:E20)</f>
        <v>6647</v>
      </c>
      <c r="F21" s="9"/>
      <c r="G21"/>
      <c r="I21" s="1" t="s">
        <v>36</v>
      </c>
      <c r="J21" s="12" t="e">
        <f t="shared" si="3"/>
        <v>#DIV/0!</v>
      </c>
      <c r="K21" s="13">
        <v>13554</v>
      </c>
      <c r="M21" s="13"/>
    </row>
    <row r="22" spans="1:13">
      <c r="A22" s="1" t="s">
        <v>37</v>
      </c>
      <c r="B22" s="12">
        <f t="shared" si="0"/>
        <v>-2.1702127659574466</v>
      </c>
      <c r="C22" s="1">
        <v>220</v>
      </c>
      <c r="D22" s="12" t="e">
        <f t="shared" si="1"/>
        <v>#DIV/0!</v>
      </c>
      <c r="E22" s="1">
        <v>-188</v>
      </c>
      <c r="G22"/>
      <c r="J22" s="12">
        <f t="shared" si="3"/>
        <v>0.30246824131768341</v>
      </c>
      <c r="K22" s="1">
        <f>SUM(K15:K21)</f>
        <v>80895</v>
      </c>
      <c r="M22" s="1">
        <f>SUM(M15:M21)</f>
        <v>62109</v>
      </c>
    </row>
    <row r="23" spans="1:13" ht="16" thickBot="1">
      <c r="A23" s="14" t="s">
        <v>38</v>
      </c>
      <c r="B23" s="12">
        <f t="shared" si="0"/>
        <v>0.27434587397429944</v>
      </c>
      <c r="C23" s="16">
        <f>SUM(C21:C22)</f>
        <v>8231</v>
      </c>
      <c r="D23" s="12" t="e">
        <f t="shared" si="1"/>
        <v>#DIV/0!</v>
      </c>
      <c r="E23" s="16">
        <f>SUM(E21:E22)</f>
        <v>6459</v>
      </c>
      <c r="G23"/>
    </row>
    <row r="24" spans="1:13" ht="17" thickTop="1" thickBot="1">
      <c r="C24" s="17"/>
      <c r="E24" s="17"/>
      <c r="G24"/>
      <c r="I24" s="18" t="s">
        <v>39</v>
      </c>
      <c r="J24" s="12">
        <f>(K24-M24)/M24</f>
        <v>0.34407383733317837</v>
      </c>
      <c r="K24" s="16">
        <f>K22+K13</f>
        <v>138781</v>
      </c>
      <c r="M24" s="16">
        <f>M22+M13</f>
        <v>103254</v>
      </c>
    </row>
    <row r="25" spans="1:13" ht="16" thickTop="1">
      <c r="A25" s="10" t="s">
        <v>40</v>
      </c>
      <c r="B25" s="7"/>
      <c r="C25" s="17"/>
      <c r="E25" s="17"/>
      <c r="G25" s="17"/>
    </row>
    <row r="26" spans="1:13">
      <c r="A26" s="1" t="s">
        <v>41</v>
      </c>
      <c r="B26" s="2" t="s">
        <v>42</v>
      </c>
      <c r="C26" s="17"/>
      <c r="E26" s="17"/>
      <c r="G26" s="17"/>
      <c r="I26" s="10" t="s">
        <v>43</v>
      </c>
      <c r="J26" s="11"/>
    </row>
    <row r="27" spans="1:13">
      <c r="A27" s="1" t="s">
        <v>44</v>
      </c>
      <c r="B27" s="2" t="s">
        <v>42</v>
      </c>
      <c r="C27" s="17"/>
      <c r="E27" s="17"/>
      <c r="G27" s="17"/>
      <c r="I27" s="1" t="s">
        <v>45</v>
      </c>
      <c r="J27" s="12">
        <f t="shared" ref="J27:J34" si="4">(K27-M27)/M27</f>
        <v>0.78687459389213776</v>
      </c>
      <c r="K27" s="1">
        <f>2460+3040</f>
        <v>5500</v>
      </c>
      <c r="M27" s="1">
        <f>2775+303</f>
        <v>3078</v>
      </c>
    </row>
    <row r="28" spans="1:13">
      <c r="A28" s="1" t="s">
        <v>46</v>
      </c>
      <c r="B28" s="2" t="s">
        <v>42</v>
      </c>
      <c r="C28" s="17"/>
      <c r="E28" s="17"/>
      <c r="G28" s="17"/>
      <c r="I28" s="1" t="s">
        <v>47</v>
      </c>
      <c r="J28" s="12">
        <f t="shared" si="4"/>
        <v>-6.2035697057404728E-2</v>
      </c>
      <c r="K28" s="1">
        <v>19444</v>
      </c>
      <c r="M28" s="1">
        <v>20730</v>
      </c>
    </row>
    <row r="29" spans="1:13">
      <c r="A29" s="1" t="s">
        <v>48</v>
      </c>
      <c r="B29" s="2" t="s">
        <v>42</v>
      </c>
      <c r="C29" s="17"/>
      <c r="E29" s="17"/>
      <c r="G29" s="17"/>
      <c r="I29" s="1" t="s">
        <v>49</v>
      </c>
      <c r="J29" s="12" t="e">
        <f t="shared" si="4"/>
        <v>#DIV/0!</v>
      </c>
    </row>
    <row r="30" spans="1:13">
      <c r="A30" s="1" t="s">
        <v>50</v>
      </c>
      <c r="B30" s="2" t="s">
        <v>42</v>
      </c>
      <c r="C30" s="17"/>
      <c r="E30" s="17"/>
      <c r="G30" s="17"/>
      <c r="I30" s="1" t="s">
        <v>51</v>
      </c>
      <c r="J30" s="12">
        <f t="shared" si="4"/>
        <v>-1.4594442885209093E-2</v>
      </c>
      <c r="K30" s="1">
        <v>3511</v>
      </c>
      <c r="M30" s="1">
        <v>3563</v>
      </c>
    </row>
    <row r="31" spans="1:13">
      <c r="I31" s="1" t="s">
        <v>52</v>
      </c>
      <c r="J31" s="12">
        <f t="shared" si="4"/>
        <v>7.6734693877551017</v>
      </c>
      <c r="K31" s="1">
        <v>850</v>
      </c>
      <c r="M31" s="1">
        <v>98</v>
      </c>
    </row>
    <row r="32" spans="1:13">
      <c r="A32" s="10" t="s">
        <v>53</v>
      </c>
      <c r="B32" s="7"/>
      <c r="I32" s="1" t="s">
        <v>54</v>
      </c>
      <c r="J32" s="12">
        <f t="shared" si="4"/>
        <v>1.2193732193732194</v>
      </c>
      <c r="K32" s="1">
        <f>149+220+410</f>
        <v>779</v>
      </c>
      <c r="M32" s="1">
        <f>151+200</f>
        <v>351</v>
      </c>
    </row>
    <row r="33" spans="1:13">
      <c r="A33" s="1" t="s">
        <v>55</v>
      </c>
      <c r="B33" s="2" t="s">
        <v>56</v>
      </c>
      <c r="C33" s="19"/>
      <c r="E33" s="19"/>
      <c r="G33" s="19"/>
      <c r="I33" s="1" t="s">
        <v>57</v>
      </c>
      <c r="J33" s="12" t="e">
        <f t="shared" si="4"/>
        <v>#DIV/0!</v>
      </c>
      <c r="K33" s="13">
        <v>13125</v>
      </c>
      <c r="M33" s="13"/>
    </row>
    <row r="34" spans="1:13">
      <c r="A34" s="1" t="s">
        <v>58</v>
      </c>
      <c r="B34" s="2" t="s">
        <v>56</v>
      </c>
      <c r="C34" s="19"/>
      <c r="E34" s="19"/>
      <c r="G34" s="19"/>
      <c r="J34" s="12">
        <f t="shared" si="4"/>
        <v>0.55316319194823871</v>
      </c>
      <c r="K34" s="1">
        <f>SUM(K27:K33)</f>
        <v>43209</v>
      </c>
      <c r="M34" s="1">
        <f>SUM(M27:M33)</f>
        <v>27820</v>
      </c>
    </row>
    <row r="35" spans="1:13">
      <c r="I35" s="10" t="s">
        <v>59</v>
      </c>
      <c r="J35" s="11"/>
    </row>
    <row r="36" spans="1:13">
      <c r="A36" s="10" t="s">
        <v>60</v>
      </c>
      <c r="B36" s="7"/>
      <c r="C36" s="19"/>
      <c r="E36" s="19"/>
      <c r="G36" s="19"/>
      <c r="I36" s="1" t="s">
        <v>61</v>
      </c>
      <c r="J36" s="12">
        <f t="shared" ref="J36:J40" si="5">(K36-M36)/M36</f>
        <v>-2.538819518038981E-2</v>
      </c>
      <c r="K36" s="1">
        <f>20346+806</f>
        <v>21152</v>
      </c>
      <c r="M36" s="1">
        <v>21703</v>
      </c>
    </row>
    <row r="37" spans="1:13">
      <c r="A37" s="1" t="s">
        <v>62</v>
      </c>
      <c r="B37" s="2" t="s">
        <v>63</v>
      </c>
      <c r="C37" s="19"/>
      <c r="E37" s="19"/>
      <c r="G37" s="19"/>
      <c r="I37" s="1" t="s">
        <v>52</v>
      </c>
      <c r="J37" s="12">
        <f t="shared" si="5"/>
        <v>24.324675324675326</v>
      </c>
      <c r="K37" s="1">
        <v>1950</v>
      </c>
      <c r="M37" s="1">
        <v>77</v>
      </c>
    </row>
    <row r="38" spans="1:13">
      <c r="A38" s="1" t="s">
        <v>64</v>
      </c>
      <c r="B38" s="2" t="s">
        <v>65</v>
      </c>
      <c r="I38" s="1" t="s">
        <v>49</v>
      </c>
      <c r="J38" s="12" t="e">
        <f t="shared" si="5"/>
        <v>#DIV/0!</v>
      </c>
    </row>
    <row r="39" spans="1:13">
      <c r="A39" s="1" t="s">
        <v>66</v>
      </c>
      <c r="B39" s="2" t="s">
        <v>63</v>
      </c>
      <c r="C39" s="20"/>
      <c r="E39" s="20"/>
      <c r="G39" s="20"/>
      <c r="I39" s="1" t="s">
        <v>67</v>
      </c>
      <c r="J39" s="12">
        <f t="shared" si="5"/>
        <v>2.4521330198186093E-2</v>
      </c>
      <c r="K39" s="1">
        <v>3050</v>
      </c>
      <c r="M39" s="1">
        <v>2977</v>
      </c>
    </row>
    <row r="40" spans="1:13">
      <c r="A40" s="1" t="s">
        <v>68</v>
      </c>
      <c r="B40" s="2" t="s">
        <v>65</v>
      </c>
      <c r="C40" s="20"/>
      <c r="E40" s="20"/>
      <c r="G40" s="20"/>
      <c r="I40" s="1" t="s">
        <v>20</v>
      </c>
      <c r="J40" s="12">
        <f t="shared" si="5"/>
        <v>1.318087318087318</v>
      </c>
      <c r="K40" s="13">
        <f>3300+196+263+2931</f>
        <v>6690</v>
      </c>
      <c r="M40" s="13">
        <f>1400+165+232+1089</f>
        <v>2886</v>
      </c>
    </row>
    <row r="41" spans="1:13">
      <c r="A41" s="1" t="s">
        <v>69</v>
      </c>
      <c r="B41" s="2" t="s">
        <v>65</v>
      </c>
      <c r="C41" s="20"/>
      <c r="E41" s="20"/>
      <c r="G41" s="20"/>
      <c r="K41" s="1">
        <f>SUM(K36:K40)</f>
        <v>32842</v>
      </c>
      <c r="M41" s="1">
        <f>SUM(M36:M40)</f>
        <v>27643</v>
      </c>
    </row>
    <row r="42" spans="1:13">
      <c r="I42" s="1" t="s">
        <v>70</v>
      </c>
      <c r="J42" s="12">
        <f t="shared" ref="J42:J43" si="6">(K42-M42)/M42</f>
        <v>0.31259023665543723</v>
      </c>
      <c r="K42" s="1">
        <v>62730</v>
      </c>
      <c r="M42" s="1">
        <v>47791</v>
      </c>
    </row>
    <row r="43" spans="1:13" ht="16" thickBot="1">
      <c r="A43" s="10" t="s">
        <v>71</v>
      </c>
      <c r="B43" s="7"/>
      <c r="I43" s="1" t="s">
        <v>72</v>
      </c>
      <c r="J43" s="12">
        <f t="shared" si="6"/>
        <v>0.34407383733317837</v>
      </c>
      <c r="K43" s="16">
        <f>K34+K41+K42</f>
        <v>138781</v>
      </c>
      <c r="M43" s="16">
        <f>M34+M41+M42</f>
        <v>103254</v>
      </c>
    </row>
    <row r="44" spans="1:13" ht="16" thickTop="1">
      <c r="A44" s="1" t="s">
        <v>73</v>
      </c>
      <c r="B44" s="2" t="s">
        <v>74</v>
      </c>
      <c r="C44" s="21"/>
      <c r="E44" s="21"/>
      <c r="G44" s="21"/>
    </row>
    <row r="45" spans="1:13">
      <c r="A45" s="1" t="s">
        <v>75</v>
      </c>
      <c r="B45" s="2" t="s">
        <v>63</v>
      </c>
      <c r="C45" s="19"/>
      <c r="E45" s="19"/>
      <c r="G45" s="19"/>
    </row>
    <row r="46" spans="1:13">
      <c r="A46" s="1" t="s">
        <v>76</v>
      </c>
      <c r="B46" s="2" t="s">
        <v>63</v>
      </c>
      <c r="I46" s="1" t="s">
        <v>77</v>
      </c>
      <c r="J46" s="12">
        <f t="shared" ref="J46:J50" si="7">(K46-M46)/M46</f>
        <v>9.0904322282836764E-2</v>
      </c>
      <c r="K46" s="13">
        <v>20797000</v>
      </c>
      <c r="M46" s="13">
        <v>19064000</v>
      </c>
    </row>
    <row r="47" spans="1:13">
      <c r="A47" s="1" t="s">
        <v>78</v>
      </c>
      <c r="B47" s="2" t="s">
        <v>42</v>
      </c>
      <c r="C47" s="17"/>
      <c r="E47" s="17"/>
      <c r="G47" s="17"/>
      <c r="I47" s="1" t="s">
        <v>79</v>
      </c>
      <c r="J47" s="12">
        <f t="shared" si="7"/>
        <v>0.25</v>
      </c>
      <c r="K47" s="22">
        <v>10</v>
      </c>
      <c r="M47" s="23">
        <v>8</v>
      </c>
    </row>
    <row r="48" spans="1:13">
      <c r="A48" s="1" t="s">
        <v>80</v>
      </c>
      <c r="B48" s="2" t="s">
        <v>81</v>
      </c>
      <c r="C48" s="19"/>
      <c r="E48" s="19"/>
      <c r="G48" s="19"/>
      <c r="I48" s="1" t="s">
        <v>82</v>
      </c>
      <c r="J48" s="12">
        <f t="shared" si="7"/>
        <v>0.36363040285354598</v>
      </c>
      <c r="K48" s="13">
        <f>K46*K47</f>
        <v>207970000</v>
      </c>
      <c r="M48" s="13">
        <f>M46*M47</f>
        <v>152512000</v>
      </c>
    </row>
    <row r="49" spans="1:13">
      <c r="A49" s="1" t="s">
        <v>83</v>
      </c>
      <c r="B49" s="2" t="s">
        <v>63</v>
      </c>
      <c r="C49" s="19"/>
      <c r="E49" s="19"/>
      <c r="G49" s="19"/>
      <c r="I49" s="1" t="s">
        <v>84</v>
      </c>
      <c r="J49" s="12">
        <f t="shared" si="7"/>
        <v>-0.90454096742349455</v>
      </c>
      <c r="K49" s="25">
        <f>0.0501+0.0466</f>
        <v>9.6700000000000008E-2</v>
      </c>
      <c r="M49" s="22">
        <f>0.566+0.447</f>
        <v>1.0129999999999999</v>
      </c>
    </row>
    <row r="50" spans="1:13">
      <c r="I50" s="1" t="s">
        <v>96</v>
      </c>
      <c r="J50" s="12">
        <f t="shared" si="7"/>
        <v>1.1615087040618957</v>
      </c>
      <c r="K50" s="26">
        <v>2235</v>
      </c>
      <c r="M50" s="26">
        <v>1034</v>
      </c>
    </row>
    <row r="51" spans="1:13">
      <c r="A51" s="10" t="s">
        <v>85</v>
      </c>
      <c r="B51" s="7"/>
    </row>
    <row r="52" spans="1:13">
      <c r="A52" s="1" t="s">
        <v>90</v>
      </c>
      <c r="B52" s="2" t="s">
        <v>42</v>
      </c>
      <c r="C52" s="17"/>
      <c r="E52" s="17"/>
    </row>
    <row r="53" spans="1:13">
      <c r="A53" s="1" t="s">
        <v>86</v>
      </c>
      <c r="B53" s="2" t="s">
        <v>42</v>
      </c>
      <c r="C53" s="17"/>
      <c r="E53" s="17"/>
    </row>
    <row r="54" spans="1:13">
      <c r="A54" s="1" t="s">
        <v>87</v>
      </c>
      <c r="B54" s="2" t="s">
        <v>42</v>
      </c>
      <c r="C54" s="17"/>
      <c r="E54" s="17"/>
    </row>
    <row r="55" spans="1:13">
      <c r="A55" s="1" t="s">
        <v>88</v>
      </c>
      <c r="B55" s="2" t="s">
        <v>42</v>
      </c>
      <c r="C55" s="17"/>
      <c r="E55" s="17"/>
    </row>
    <row r="56" spans="1:13">
      <c r="A56" s="24" t="s">
        <v>89</v>
      </c>
      <c r="B56" s="2" t="s">
        <v>42</v>
      </c>
      <c r="C56" s="17"/>
      <c r="E56" s="17"/>
    </row>
  </sheetData>
  <phoneticPr fontId="9" type="noConversion"/>
  <pageMargins left="0.75000000000000011" right="0.75000000000000011" top="1" bottom="1" header="0.5" footer="0.5"/>
  <pageSetup paperSize="9" scale="52" orientation="landscape" horizontalDpi="4294967292" verticalDpi="4294967292"/>
  <headerFooter>
    <oddHeader>&amp;L&amp;"Calibri,Regular"&amp;K000000SM 4 Good Group Ratio Analysis - Exercise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6"/>
  <sheetViews>
    <sheetView tabSelected="1" zoomScale="92" zoomScaleNormal="92" zoomScalePageLayoutView="92" workbookViewId="0">
      <selection activeCell="E59" sqref="E59"/>
    </sheetView>
  </sheetViews>
  <sheetFormatPr baseColWidth="10" defaultRowHeight="15" x14ac:dyDescent="0"/>
  <cols>
    <col min="1" max="1" width="67" style="1" customWidth="1"/>
    <col min="2" max="2" width="14" style="2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8" width="10.83203125" style="1"/>
    <col min="9" max="9" width="32.1640625" style="1" customWidth="1"/>
    <col min="10" max="10" width="10.6640625" style="3" customWidth="1"/>
    <col min="11" max="11" width="14" style="1" bestFit="1" customWidth="1"/>
    <col min="12" max="12" width="5" style="1" customWidth="1"/>
    <col min="13" max="13" width="14.6640625" style="1" customWidth="1"/>
    <col min="14" max="16384" width="10.83203125" style="1"/>
  </cols>
  <sheetData>
    <row r="1" spans="1:13">
      <c r="A1" s="1" t="s">
        <v>0</v>
      </c>
    </row>
    <row r="2" spans="1:13">
      <c r="A2" s="1" t="s">
        <v>94</v>
      </c>
      <c r="B2" s="2" t="s">
        <v>1</v>
      </c>
      <c r="D2" s="2" t="s">
        <v>1</v>
      </c>
      <c r="J2" s="2" t="s">
        <v>1</v>
      </c>
    </row>
    <row r="3" spans="1:13">
      <c r="B3" s="4" t="s">
        <v>2</v>
      </c>
      <c r="C3" s="5" t="s">
        <v>91</v>
      </c>
      <c r="D3" s="4" t="s">
        <v>2</v>
      </c>
      <c r="E3" s="5" t="s">
        <v>3</v>
      </c>
      <c r="F3" s="5"/>
      <c r="G3"/>
      <c r="H3" s="5"/>
      <c r="I3" s="5"/>
      <c r="J3" s="4" t="s">
        <v>2</v>
      </c>
      <c r="K3" s="5" t="s">
        <v>91</v>
      </c>
      <c r="L3" s="5"/>
      <c r="M3" s="5" t="s">
        <v>3</v>
      </c>
    </row>
    <row r="4" spans="1:13">
      <c r="A4" s="6" t="s">
        <v>4</v>
      </c>
      <c r="B4" s="7"/>
      <c r="G4"/>
      <c r="I4" s="6" t="s">
        <v>5</v>
      </c>
      <c r="J4" s="7"/>
      <c r="K4" s="3" t="s">
        <v>6</v>
      </c>
      <c r="M4" s="8" t="s">
        <v>6</v>
      </c>
    </row>
    <row r="5" spans="1:13">
      <c r="C5" s="3" t="s">
        <v>6</v>
      </c>
      <c r="D5" s="9"/>
      <c r="E5" s="3" t="s">
        <v>6</v>
      </c>
      <c r="F5" s="9"/>
      <c r="G5"/>
      <c r="H5" s="9"/>
      <c r="I5" s="10" t="s">
        <v>7</v>
      </c>
      <c r="J5" s="11"/>
    </row>
    <row r="6" spans="1:13">
      <c r="A6" s="1" t="s">
        <v>8</v>
      </c>
      <c r="B6" s="12">
        <f>(C6-E6)/E6</f>
        <v>0.13592328359674782</v>
      </c>
      <c r="C6" s="1">
        <v>161927</v>
      </c>
      <c r="D6" s="12" t="e">
        <f>(E6-G6)/G6</f>
        <v>#DIV/0!</v>
      </c>
      <c r="E6" s="1">
        <v>142551</v>
      </c>
      <c r="F6" s="3"/>
      <c r="G6"/>
      <c r="H6" s="3"/>
      <c r="I6" s="1" t="s">
        <v>92</v>
      </c>
      <c r="J6" s="12" t="e">
        <f>(K6-M6)/M6</f>
        <v>#DIV/0!</v>
      </c>
    </row>
    <row r="7" spans="1:13">
      <c r="A7" s="1" t="s">
        <v>9</v>
      </c>
      <c r="B7" s="12">
        <f t="shared" ref="B7:B23" si="0">(C7-E7)/E7</f>
        <v>3.4665624651110866E-2</v>
      </c>
      <c r="C7" s="13">
        <f>17131+1404</f>
        <v>18535</v>
      </c>
      <c r="D7" s="12" t="e">
        <f t="shared" ref="D7:D23" si="1">(E7-G7)/G7</f>
        <v>#DIV/0!</v>
      </c>
      <c r="E7" s="13">
        <f>16537+1377</f>
        <v>17914</v>
      </c>
      <c r="G7"/>
      <c r="H7" s="3"/>
      <c r="I7" s="1" t="s">
        <v>10</v>
      </c>
      <c r="J7" s="12">
        <f t="shared" ref="J7:J13" si="2">(K7-M7)/M7</f>
        <v>1.4457537586347013</v>
      </c>
      <c r="K7" s="1">
        <v>6019</v>
      </c>
      <c r="M7" s="1">
        <v>2461</v>
      </c>
    </row>
    <row r="8" spans="1:13">
      <c r="A8" s="14" t="s">
        <v>11</v>
      </c>
      <c r="B8" s="12">
        <f t="shared" si="0"/>
        <v>0.1246190758109245</v>
      </c>
      <c r="C8" s="1">
        <f>SUM(C6:C7)</f>
        <v>180462</v>
      </c>
      <c r="D8" s="12" t="e">
        <f t="shared" si="1"/>
        <v>#DIV/0!</v>
      </c>
      <c r="E8" s="1">
        <f>SUM(E6:E7)</f>
        <v>160465</v>
      </c>
      <c r="G8"/>
      <c r="H8" s="9"/>
      <c r="I8" s="1" t="s">
        <v>12</v>
      </c>
      <c r="J8" s="12">
        <f t="shared" si="2"/>
        <v>0.3555427678901722</v>
      </c>
      <c r="K8" s="1">
        <v>32979</v>
      </c>
      <c r="M8" s="1">
        <v>24329</v>
      </c>
    </row>
    <row r="9" spans="1:13">
      <c r="A9" s="1" t="s">
        <v>13</v>
      </c>
      <c r="B9" s="12">
        <f t="shared" si="0"/>
        <v>6.3581698939136663E-2</v>
      </c>
      <c r="C9" s="13">
        <v>-136549</v>
      </c>
      <c r="D9" s="12" t="e">
        <f t="shared" si="1"/>
        <v>#DIV/0!</v>
      </c>
      <c r="E9" s="13">
        <v>-128386</v>
      </c>
      <c r="F9" s="3"/>
      <c r="G9"/>
      <c r="H9" s="3"/>
      <c r="I9" s="1" t="s">
        <v>14</v>
      </c>
      <c r="J9" s="12">
        <f t="shared" si="2"/>
        <v>0.26669316375198726</v>
      </c>
      <c r="K9" s="1">
        <v>3187</v>
      </c>
      <c r="M9" s="1">
        <v>2516</v>
      </c>
    </row>
    <row r="10" spans="1:13">
      <c r="A10" s="14" t="s">
        <v>15</v>
      </c>
      <c r="B10" s="12">
        <f t="shared" si="0"/>
        <v>0.36890177374606442</v>
      </c>
      <c r="C10" s="1">
        <f>C8+C9</f>
        <v>43913</v>
      </c>
      <c r="D10" s="12" t="e">
        <f t="shared" si="1"/>
        <v>#DIV/0!</v>
      </c>
      <c r="E10" s="1">
        <f>E8+E9</f>
        <v>32079</v>
      </c>
      <c r="F10" s="9"/>
      <c r="G10"/>
      <c r="H10" s="3"/>
      <c r="I10" s="1" t="s">
        <v>93</v>
      </c>
      <c r="J10" s="12">
        <f t="shared" si="2"/>
        <v>0.11399223349617939</v>
      </c>
      <c r="K10" s="1">
        <v>8893</v>
      </c>
      <c r="M10" s="1">
        <v>7983</v>
      </c>
    </row>
    <row r="11" spans="1:13">
      <c r="A11" s="1" t="s">
        <v>17</v>
      </c>
      <c r="B11" s="12" t="e">
        <f t="shared" si="0"/>
        <v>#DIV/0!</v>
      </c>
      <c r="D11" s="12" t="e">
        <f t="shared" si="1"/>
        <v>#DIV/0!</v>
      </c>
      <c r="G11"/>
      <c r="H11" s="9"/>
      <c r="I11" s="1" t="s">
        <v>18</v>
      </c>
      <c r="J11" s="12">
        <f t="shared" si="2"/>
        <v>4.9315068493150684E-2</v>
      </c>
      <c r="K11" s="1">
        <v>383</v>
      </c>
      <c r="M11" s="1">
        <v>365</v>
      </c>
    </row>
    <row r="12" spans="1:13">
      <c r="A12" s="1" t="s">
        <v>19</v>
      </c>
      <c r="B12" s="12" t="e">
        <f t="shared" si="0"/>
        <v>#DIV/0!</v>
      </c>
      <c r="D12" s="12" t="e">
        <f t="shared" si="1"/>
        <v>#DIV/0!</v>
      </c>
      <c r="F12" s="3"/>
      <c r="G12"/>
      <c r="H12" s="3"/>
      <c r="I12" s="1" t="s">
        <v>20</v>
      </c>
      <c r="J12" s="12">
        <f t="shared" si="2"/>
        <v>0.84044686336293328</v>
      </c>
      <c r="K12" s="13">
        <v>6425</v>
      </c>
      <c r="M12" s="13">
        <v>3491</v>
      </c>
    </row>
    <row r="13" spans="1:13">
      <c r="A13" s="1" t="s">
        <v>21</v>
      </c>
      <c r="B13" s="12">
        <f t="shared" si="0"/>
        <v>0.29096337579617837</v>
      </c>
      <c r="C13" s="1">
        <f>-14001-18428</f>
        <v>-32429</v>
      </c>
      <c r="D13" s="12" t="e">
        <f t="shared" si="1"/>
        <v>#DIV/0!</v>
      </c>
      <c r="E13" s="1">
        <f>-12964-12156</f>
        <v>-25120</v>
      </c>
      <c r="G13"/>
      <c r="H13" s="3"/>
      <c r="J13" s="12">
        <f t="shared" si="2"/>
        <v>0.40687811398711871</v>
      </c>
      <c r="K13" s="15">
        <f>SUM(K6:K12)</f>
        <v>57886</v>
      </c>
      <c r="M13" s="15">
        <f>SUM(M6:M12)</f>
        <v>41145</v>
      </c>
    </row>
    <row r="14" spans="1:13">
      <c r="A14" s="1" t="s">
        <v>22</v>
      </c>
      <c r="B14" s="12" t="e">
        <f t="shared" si="0"/>
        <v>#DIV/0!</v>
      </c>
      <c r="D14" s="12" t="e">
        <f t="shared" si="1"/>
        <v>#DIV/0!</v>
      </c>
      <c r="G14"/>
      <c r="H14" s="9"/>
      <c r="I14" s="10" t="s">
        <v>23</v>
      </c>
      <c r="J14" s="11"/>
    </row>
    <row r="15" spans="1:13">
      <c r="A15" s="1" t="s">
        <v>24</v>
      </c>
      <c r="B15" s="12">
        <f t="shared" si="0"/>
        <v>-1.0537585421412301</v>
      </c>
      <c r="C15" s="13">
        <f>-2554+2436</f>
        <v>-118</v>
      </c>
      <c r="D15" s="12" t="e">
        <f t="shared" si="1"/>
        <v>#DIV/0!</v>
      </c>
      <c r="E15" s="13">
        <f>2548-353</f>
        <v>2195</v>
      </c>
      <c r="F15" s="3"/>
      <c r="G15"/>
      <c r="H15" s="3"/>
      <c r="I15" s="1" t="s">
        <v>25</v>
      </c>
      <c r="J15" s="12">
        <f t="shared" ref="J15:J22" si="3">(K15-M15)/M15</f>
        <v>-3.3475696562944884E-2</v>
      </c>
      <c r="K15" s="1">
        <v>23762</v>
      </c>
      <c r="M15" s="1">
        <v>24585</v>
      </c>
    </row>
    <row r="16" spans="1:13">
      <c r="A16" s="14" t="s">
        <v>26</v>
      </c>
      <c r="B16" s="12">
        <f t="shared" si="0"/>
        <v>0.24164299759667904</v>
      </c>
      <c r="C16" s="1">
        <f>SUM(C10:C15)</f>
        <v>11366</v>
      </c>
      <c r="D16" s="12" t="e">
        <f t="shared" si="1"/>
        <v>#DIV/0!</v>
      </c>
      <c r="E16" s="1">
        <f>SUM(E10:E15)</f>
        <v>9154</v>
      </c>
      <c r="F16" s="9"/>
      <c r="G16"/>
      <c r="H16" s="9"/>
      <c r="I16" s="1" t="s">
        <v>27</v>
      </c>
      <c r="J16" s="12">
        <f t="shared" si="3"/>
        <v>0.15172723194257515</v>
      </c>
      <c r="K16" s="1">
        <v>25672</v>
      </c>
      <c r="M16" s="1">
        <v>22290</v>
      </c>
    </row>
    <row r="17" spans="1:13">
      <c r="A17" s="1" t="s">
        <v>28</v>
      </c>
      <c r="B17" s="12">
        <f t="shared" si="0"/>
        <v>1.7543859649122806E-2</v>
      </c>
      <c r="C17" s="1">
        <f>-1264+336</f>
        <v>-928</v>
      </c>
      <c r="D17" s="12" t="e">
        <f t="shared" si="1"/>
        <v>#DIV/0!</v>
      </c>
      <c r="E17" s="1">
        <f>-1123+211</f>
        <v>-912</v>
      </c>
      <c r="F17" s="3"/>
      <c r="G17"/>
      <c r="I17" s="1" t="s">
        <v>16</v>
      </c>
      <c r="J17" s="12" t="e">
        <f t="shared" si="3"/>
        <v>#DIV/0!</v>
      </c>
    </row>
    <row r="18" spans="1:13">
      <c r="A18" s="1" t="s">
        <v>29</v>
      </c>
      <c r="B18" s="12">
        <f t="shared" si="0"/>
        <v>5.1724137931034482E-2</v>
      </c>
      <c r="C18" s="13">
        <v>671</v>
      </c>
      <c r="D18" s="12" t="e">
        <f t="shared" si="1"/>
        <v>#DIV/0!</v>
      </c>
      <c r="E18" s="13">
        <v>638</v>
      </c>
      <c r="F18" s="3"/>
      <c r="G18"/>
      <c r="I18" s="1" t="s">
        <v>30</v>
      </c>
      <c r="J18" s="12">
        <f t="shared" si="3"/>
        <v>0.47878787878787876</v>
      </c>
      <c r="K18" s="1">
        <v>244</v>
      </c>
      <c r="M18" s="1">
        <v>165</v>
      </c>
    </row>
    <row r="19" spans="1:13">
      <c r="A19" s="14" t="s">
        <v>31</v>
      </c>
      <c r="B19" s="12">
        <f t="shared" si="0"/>
        <v>0.25101351351351353</v>
      </c>
      <c r="C19" s="1">
        <f>SUM(C16:C18)</f>
        <v>11109</v>
      </c>
      <c r="D19" s="12" t="e">
        <f t="shared" si="1"/>
        <v>#DIV/0!</v>
      </c>
      <c r="E19" s="1">
        <f>SUM(E16:E18)</f>
        <v>8880</v>
      </c>
      <c r="F19" s="9"/>
      <c r="G19"/>
      <c r="I19" s="1" t="s">
        <v>32</v>
      </c>
      <c r="J19" s="12">
        <f t="shared" si="3"/>
        <v>2.6013071895424837</v>
      </c>
      <c r="K19" s="1">
        <v>551</v>
      </c>
      <c r="M19" s="1">
        <v>153</v>
      </c>
    </row>
    <row r="20" spans="1:13">
      <c r="A20" s="1" t="s">
        <v>33</v>
      </c>
      <c r="B20" s="12">
        <f t="shared" si="0"/>
        <v>0.38737124944021495</v>
      </c>
      <c r="C20" s="13">
        <v>-3098</v>
      </c>
      <c r="D20" s="12" t="e">
        <f t="shared" si="1"/>
        <v>#DIV/0!</v>
      </c>
      <c r="E20" s="13">
        <v>-2233</v>
      </c>
      <c r="F20" s="3"/>
      <c r="G20"/>
      <c r="I20" s="1" t="s">
        <v>34</v>
      </c>
      <c r="J20" s="12">
        <f t="shared" si="3"/>
        <v>0.14722445695897024</v>
      </c>
      <c r="K20" s="1">
        <v>17112</v>
      </c>
      <c r="M20" s="1">
        <v>14916</v>
      </c>
    </row>
    <row r="21" spans="1:13">
      <c r="A21" s="14" t="s">
        <v>35</v>
      </c>
      <c r="B21" s="12">
        <f t="shared" si="0"/>
        <v>0.20520535579960886</v>
      </c>
      <c r="C21" s="15">
        <f>SUM(C19:C20)</f>
        <v>8011</v>
      </c>
      <c r="D21" s="12" t="e">
        <f t="shared" si="1"/>
        <v>#DIV/0!</v>
      </c>
      <c r="E21" s="15">
        <f>SUM(E19:E20)</f>
        <v>6647</v>
      </c>
      <c r="F21" s="9"/>
      <c r="G21"/>
      <c r="I21" s="1" t="s">
        <v>36</v>
      </c>
      <c r="J21" s="12" t="e">
        <f t="shared" si="3"/>
        <v>#DIV/0!</v>
      </c>
      <c r="K21" s="13">
        <v>13554</v>
      </c>
      <c r="M21" s="13"/>
    </row>
    <row r="22" spans="1:13">
      <c r="A22" s="1" t="s">
        <v>37</v>
      </c>
      <c r="B22" s="12">
        <f t="shared" si="0"/>
        <v>-2.1702127659574466</v>
      </c>
      <c r="C22" s="1">
        <v>220</v>
      </c>
      <c r="D22" s="12" t="e">
        <f t="shared" si="1"/>
        <v>#DIV/0!</v>
      </c>
      <c r="E22" s="1">
        <v>-188</v>
      </c>
      <c r="G22"/>
      <c r="J22" s="12">
        <f t="shared" si="3"/>
        <v>0.30246824131768341</v>
      </c>
      <c r="K22" s="1">
        <f>SUM(K15:K21)</f>
        <v>80895</v>
      </c>
      <c r="M22" s="1">
        <f>SUM(M15:M21)</f>
        <v>62109</v>
      </c>
    </row>
    <row r="23" spans="1:13" ht="16" thickBot="1">
      <c r="A23" s="14" t="s">
        <v>38</v>
      </c>
      <c r="B23" s="12">
        <f t="shared" si="0"/>
        <v>0.27434587397429944</v>
      </c>
      <c r="C23" s="16">
        <f>SUM(C21:C22)</f>
        <v>8231</v>
      </c>
      <c r="D23" s="12" t="e">
        <f t="shared" si="1"/>
        <v>#DIV/0!</v>
      </c>
      <c r="E23" s="16">
        <f>SUM(E21:E22)</f>
        <v>6459</v>
      </c>
      <c r="G23"/>
    </row>
    <row r="24" spans="1:13" ht="17" thickTop="1" thickBot="1">
      <c r="C24" s="17"/>
      <c r="E24" s="17"/>
      <c r="G24"/>
      <c r="I24" s="18" t="s">
        <v>39</v>
      </c>
      <c r="J24" s="12">
        <f>(K24-M24)/M24</f>
        <v>0.34407383733317837</v>
      </c>
      <c r="K24" s="16">
        <f>K22+K13</f>
        <v>138781</v>
      </c>
      <c r="M24" s="16">
        <f>M22+M13</f>
        <v>103254</v>
      </c>
    </row>
    <row r="25" spans="1:13" ht="16" thickTop="1">
      <c r="A25" s="10" t="s">
        <v>40</v>
      </c>
      <c r="B25" s="7"/>
      <c r="C25" s="17"/>
      <c r="E25" s="17"/>
      <c r="G25" s="17"/>
    </row>
    <row r="26" spans="1:13">
      <c r="A26" s="1" t="s">
        <v>41</v>
      </c>
      <c r="B26" s="2" t="s">
        <v>42</v>
      </c>
      <c r="C26" s="17">
        <f>C10/C6</f>
        <v>0.27119010418274903</v>
      </c>
      <c r="E26" s="17">
        <f>E10/E8</f>
        <v>0.19991275355996635</v>
      </c>
      <c r="G26" s="17"/>
      <c r="I26" s="10" t="s">
        <v>43</v>
      </c>
      <c r="J26" s="11"/>
    </row>
    <row r="27" spans="1:13">
      <c r="A27" s="1" t="s">
        <v>44</v>
      </c>
      <c r="B27" s="2" t="s">
        <v>42</v>
      </c>
      <c r="C27" s="17">
        <f>C16/C6</f>
        <v>7.0192123611256929E-2</v>
      </c>
      <c r="E27" s="17">
        <f>E16/E8</f>
        <v>5.704670800486087E-2</v>
      </c>
      <c r="G27" s="17"/>
      <c r="I27" s="1" t="s">
        <v>45</v>
      </c>
      <c r="J27" s="12">
        <f t="shared" ref="J27:J34" si="4">(K27-M27)/M27</f>
        <v>0.78687459389213776</v>
      </c>
      <c r="K27" s="1">
        <f>2460+3040</f>
        <v>5500</v>
      </c>
      <c r="M27" s="1">
        <f>2775+303</f>
        <v>3078</v>
      </c>
    </row>
    <row r="28" spans="1:13">
      <c r="A28" s="1" t="s">
        <v>46</v>
      </c>
      <c r="B28" s="2" t="s">
        <v>42</v>
      </c>
      <c r="C28" s="17">
        <f>C23/C6</f>
        <v>5.083154754920427E-2</v>
      </c>
      <c r="E28" s="17">
        <f>E23/E8</f>
        <v>4.0251768298382826E-2</v>
      </c>
      <c r="G28" s="17"/>
      <c r="I28" s="1" t="s">
        <v>47</v>
      </c>
      <c r="J28" s="12">
        <f t="shared" si="4"/>
        <v>-6.2035697057404728E-2</v>
      </c>
      <c r="K28" s="1">
        <v>19444</v>
      </c>
      <c r="M28" s="1">
        <v>20730</v>
      </c>
    </row>
    <row r="29" spans="1:13">
      <c r="A29" s="1" t="s">
        <v>48</v>
      </c>
      <c r="B29" s="2" t="s">
        <v>42</v>
      </c>
      <c r="C29" s="17">
        <f>C23/K42</f>
        <v>0.13121313566076837</v>
      </c>
      <c r="E29" s="17">
        <f>E23/M42</f>
        <v>0.1351509698478793</v>
      </c>
      <c r="G29" s="17"/>
      <c r="I29" s="1" t="s">
        <v>49</v>
      </c>
      <c r="J29" s="12" t="e">
        <f t="shared" si="4"/>
        <v>#DIV/0!</v>
      </c>
    </row>
    <row r="30" spans="1:13">
      <c r="A30" s="1" t="s">
        <v>50</v>
      </c>
      <c r="B30" s="2" t="s">
        <v>42</v>
      </c>
      <c r="C30" s="17">
        <f>(C16+C18)/(K42+K36)</f>
        <v>0.14349920125891133</v>
      </c>
      <c r="E30" s="17">
        <f>(E16+E18)/(M42+M36)</f>
        <v>0.14090425072668145</v>
      </c>
      <c r="G30" s="17"/>
      <c r="I30" s="1" t="s">
        <v>51</v>
      </c>
      <c r="J30" s="12">
        <f t="shared" si="4"/>
        <v>-1.4594442885209093E-2</v>
      </c>
      <c r="K30" s="1">
        <v>3511</v>
      </c>
      <c r="M30" s="1">
        <v>3563</v>
      </c>
    </row>
    <row r="31" spans="1:13">
      <c r="I31" s="1" t="s">
        <v>52</v>
      </c>
      <c r="J31" s="12">
        <f t="shared" si="4"/>
        <v>7.6734693877551017</v>
      </c>
      <c r="K31" s="1">
        <v>850</v>
      </c>
      <c r="M31" s="1">
        <v>98</v>
      </c>
    </row>
    <row r="32" spans="1:13">
      <c r="A32" s="10" t="s">
        <v>53</v>
      </c>
      <c r="B32" s="7"/>
      <c r="I32" s="1" t="s">
        <v>54</v>
      </c>
      <c r="J32" s="12">
        <f t="shared" si="4"/>
        <v>1.2193732193732194</v>
      </c>
      <c r="K32" s="1">
        <f>149+220+410</f>
        <v>779</v>
      </c>
      <c r="M32" s="1">
        <f>151+200</f>
        <v>351</v>
      </c>
    </row>
    <row r="33" spans="1:13">
      <c r="A33" s="1" t="s">
        <v>55</v>
      </c>
      <c r="B33" s="2" t="s">
        <v>56</v>
      </c>
      <c r="C33" s="19">
        <f>K22/K34</f>
        <v>1.872179407067972</v>
      </c>
      <c r="E33" s="19">
        <f>M22/M34</f>
        <v>2.2325305535585911</v>
      </c>
      <c r="G33" s="19"/>
      <c r="I33" s="1" t="s">
        <v>57</v>
      </c>
      <c r="J33" s="12" t="e">
        <f t="shared" si="4"/>
        <v>#DIV/0!</v>
      </c>
      <c r="K33" s="13">
        <v>13125</v>
      </c>
      <c r="M33" s="13"/>
    </row>
    <row r="34" spans="1:13">
      <c r="A34" s="1" t="s">
        <v>58</v>
      </c>
      <c r="B34" s="2" t="s">
        <v>56</v>
      </c>
      <c r="C34" s="19">
        <f>(K22-K15)/K34</f>
        <v>1.3222476798815062</v>
      </c>
      <c r="E34" s="19">
        <f>(M22-M15)/M34</f>
        <v>1.3488138030194106</v>
      </c>
      <c r="G34" s="19"/>
      <c r="J34" s="12">
        <f t="shared" si="4"/>
        <v>0.55316319194823871</v>
      </c>
      <c r="K34" s="1">
        <f>SUM(K27:K33)</f>
        <v>43209</v>
      </c>
      <c r="M34" s="1">
        <f>SUM(M27:M33)</f>
        <v>27820</v>
      </c>
    </row>
    <row r="35" spans="1:13">
      <c r="I35" s="10" t="s">
        <v>59</v>
      </c>
      <c r="J35" s="11"/>
    </row>
    <row r="36" spans="1:13">
      <c r="A36" s="10" t="s">
        <v>60</v>
      </c>
      <c r="B36" s="7"/>
      <c r="C36" s="19"/>
      <c r="E36" s="19"/>
      <c r="G36" s="19"/>
      <c r="I36" s="1" t="s">
        <v>61</v>
      </c>
      <c r="J36" s="12">
        <f t="shared" ref="J36:J40" si="5">(K36-M36)/M36</f>
        <v>-2.538819518038981E-2</v>
      </c>
      <c r="K36" s="1">
        <f>20346+806</f>
        <v>21152</v>
      </c>
      <c r="M36" s="1">
        <v>21703</v>
      </c>
    </row>
    <row r="37" spans="1:13">
      <c r="A37" s="1" t="s">
        <v>62</v>
      </c>
      <c r="B37" s="2" t="s">
        <v>63</v>
      </c>
      <c r="C37" s="19">
        <f>C6/K13</f>
        <v>2.797343053588087</v>
      </c>
      <c r="E37" s="19">
        <f>E6/M13</f>
        <v>3.4646008020415602</v>
      </c>
      <c r="F37" s="1" t="s">
        <v>63</v>
      </c>
      <c r="G37" s="19"/>
      <c r="I37" s="1" t="s">
        <v>52</v>
      </c>
      <c r="J37" s="12">
        <f t="shared" si="5"/>
        <v>24.324675324675326</v>
      </c>
      <c r="K37" s="1">
        <v>1950</v>
      </c>
      <c r="M37" s="1">
        <v>77</v>
      </c>
    </row>
    <row r="38" spans="1:13">
      <c r="A38" s="1" t="s">
        <v>64</v>
      </c>
      <c r="B38" s="2" t="s">
        <v>65</v>
      </c>
      <c r="C38" s="1">
        <f>(K15/C9)*365*-1</f>
        <v>63.516613083947881</v>
      </c>
      <c r="E38" s="1">
        <f>(M15/E9)*365*-1</f>
        <v>69.894887293007017</v>
      </c>
      <c r="F38" s="1" t="s">
        <v>65</v>
      </c>
      <c r="I38" s="1" t="s">
        <v>49</v>
      </c>
      <c r="J38" s="12" t="e">
        <f t="shared" si="5"/>
        <v>#DIV/0!</v>
      </c>
    </row>
    <row r="39" spans="1:13">
      <c r="A39" s="1" t="s">
        <v>66</v>
      </c>
      <c r="B39" s="2" t="s">
        <v>63</v>
      </c>
      <c r="C39" s="20">
        <f>C9/K15*-1</f>
        <v>5.7465280700277752</v>
      </c>
      <c r="E39" s="20">
        <f>E9/M15*-1</f>
        <v>5.2221273134024813</v>
      </c>
      <c r="F39" s="1" t="s">
        <v>63</v>
      </c>
      <c r="G39" s="20"/>
      <c r="I39" s="1" t="s">
        <v>67</v>
      </c>
      <c r="J39" s="12">
        <f t="shared" si="5"/>
        <v>2.4521330198186093E-2</v>
      </c>
      <c r="K39" s="1">
        <v>3050</v>
      </c>
      <c r="M39" s="1">
        <v>2977</v>
      </c>
    </row>
    <row r="40" spans="1:13">
      <c r="A40" s="1" t="s">
        <v>68</v>
      </c>
      <c r="B40" s="2" t="s">
        <v>65</v>
      </c>
      <c r="C40" s="20">
        <f>(K16-(K16*20%))/C6*365</f>
        <v>46.293848462578808</v>
      </c>
      <c r="E40" s="20">
        <f>(M16-(M16*20%))/E6*365</f>
        <v>45.658606393501273</v>
      </c>
      <c r="F40" s="1" t="s">
        <v>65</v>
      </c>
      <c r="G40" s="20"/>
      <c r="I40" s="1" t="s">
        <v>20</v>
      </c>
      <c r="J40" s="12">
        <f t="shared" si="5"/>
        <v>1.318087318087318</v>
      </c>
      <c r="K40" s="13">
        <f>3300+196+263+2931</f>
        <v>6690</v>
      </c>
      <c r="M40" s="13">
        <f>1400+165+232+1089</f>
        <v>2886</v>
      </c>
    </row>
    <row r="41" spans="1:13">
      <c r="A41" s="1" t="s">
        <v>69</v>
      </c>
      <c r="B41" s="2" t="s">
        <v>65</v>
      </c>
      <c r="C41" s="20">
        <f>(K28-(K28*20%))/C9*365*-1</f>
        <v>41.579564844854232</v>
      </c>
      <c r="E41" s="20">
        <f>(M28-(M28*20%))/E9*365*-1</f>
        <v>47.148131416198026</v>
      </c>
      <c r="F41" s="1" t="s">
        <v>65</v>
      </c>
      <c r="G41" s="20"/>
      <c r="K41" s="1">
        <f>SUM(K36:K40)</f>
        <v>32842</v>
      </c>
      <c r="M41" s="1">
        <f>SUM(M36:M40)</f>
        <v>27643</v>
      </c>
    </row>
    <row r="42" spans="1:13">
      <c r="I42" s="1" t="s">
        <v>70</v>
      </c>
      <c r="J42" s="12">
        <f t="shared" ref="J42:J43" si="6">(K42-M42)/M42</f>
        <v>0.31259023665543723</v>
      </c>
      <c r="K42" s="1">
        <v>62730</v>
      </c>
      <c r="M42" s="1">
        <v>47791</v>
      </c>
    </row>
    <row r="43" spans="1:13" ht="16" thickBot="1">
      <c r="A43" s="10" t="s">
        <v>71</v>
      </c>
      <c r="B43" s="7"/>
      <c r="I43" s="1" t="s">
        <v>72</v>
      </c>
      <c r="J43" s="12">
        <f t="shared" si="6"/>
        <v>0.34407383733317837</v>
      </c>
      <c r="K43" s="16">
        <f>K34+K41+K42</f>
        <v>138781</v>
      </c>
      <c r="M43" s="16">
        <f>M34+M41+M42</f>
        <v>103254</v>
      </c>
    </row>
    <row r="44" spans="1:13" ht="16" thickTop="1">
      <c r="A44" s="1" t="s">
        <v>73</v>
      </c>
      <c r="B44" s="2" t="s">
        <v>74</v>
      </c>
      <c r="C44" s="21">
        <f>C23/(K46/1000)</f>
        <v>0.39577823724575661</v>
      </c>
      <c r="E44" s="21">
        <f>E23/(M46/1000)</f>
        <v>0.33880612673101135</v>
      </c>
      <c r="G44" s="21"/>
    </row>
    <row r="45" spans="1:13">
      <c r="A45" s="1" t="s">
        <v>75</v>
      </c>
      <c r="B45" s="2" t="s">
        <v>63</v>
      </c>
      <c r="C45" s="19">
        <f>K47/(C44*0.99)</f>
        <v>25.521893703159648</v>
      </c>
      <c r="E45" s="19">
        <f>M47/(E44*0.9)</f>
        <v>26.235915432385472</v>
      </c>
      <c r="G45" s="19"/>
    </row>
    <row r="46" spans="1:13">
      <c r="A46" s="1" t="s">
        <v>76</v>
      </c>
      <c r="B46" s="2" t="s">
        <v>63</v>
      </c>
      <c r="C46" s="19">
        <f>C44/K49</f>
        <v>4.0928463003697679</v>
      </c>
      <c r="E46" s="21">
        <f>E44/M49</f>
        <v>0.33445817051432514</v>
      </c>
      <c r="I46" s="1" t="s">
        <v>77</v>
      </c>
      <c r="J46" s="12">
        <f t="shared" ref="J46:J50" si="7">(K46-M46)/M46</f>
        <v>9.0904322282836764E-2</v>
      </c>
      <c r="K46" s="13">
        <v>20797000</v>
      </c>
      <c r="M46" s="13">
        <v>19064000</v>
      </c>
    </row>
    <row r="47" spans="1:13">
      <c r="A47" s="1" t="s">
        <v>78</v>
      </c>
      <c r="B47" s="2" t="s">
        <v>42</v>
      </c>
      <c r="C47" s="17">
        <f>K49/K47</f>
        <v>9.6700000000000015E-3</v>
      </c>
      <c r="E47" s="17">
        <f>M49/M47</f>
        <v>0.12662499999999999</v>
      </c>
      <c r="G47" s="17"/>
      <c r="I47" s="1" t="s">
        <v>79</v>
      </c>
      <c r="J47" s="12">
        <f t="shared" si="7"/>
        <v>0.25</v>
      </c>
      <c r="K47" s="22">
        <v>10</v>
      </c>
      <c r="M47" s="23">
        <v>8</v>
      </c>
    </row>
    <row r="48" spans="1:13">
      <c r="A48" s="1" t="s">
        <v>80</v>
      </c>
      <c r="B48" s="2" t="s">
        <v>81</v>
      </c>
      <c r="C48" s="19">
        <f>K36/K42</f>
        <v>0.33719113661724853</v>
      </c>
      <c r="E48" s="19">
        <f>M36/M42</f>
        <v>0.45412316126467328</v>
      </c>
      <c r="G48" s="19"/>
      <c r="I48" s="1" t="s">
        <v>82</v>
      </c>
      <c r="J48" s="12">
        <f t="shared" si="7"/>
        <v>0.36363040285354598</v>
      </c>
      <c r="K48" s="13">
        <f>K46*K47</f>
        <v>207970000</v>
      </c>
      <c r="M48" s="13">
        <f>M46*M47</f>
        <v>152512000</v>
      </c>
    </row>
    <row r="49" spans="1:13">
      <c r="A49" s="1" t="s">
        <v>83</v>
      </c>
      <c r="B49" s="2" t="s">
        <v>63</v>
      </c>
      <c r="C49" s="19">
        <f>(C16+C18)/C17*-1</f>
        <v>12.970905172413794</v>
      </c>
      <c r="E49" s="19">
        <f>(E16+E18)/E17*-1</f>
        <v>10.736842105263158</v>
      </c>
      <c r="G49" s="19"/>
      <c r="I49" s="1" t="s">
        <v>84</v>
      </c>
      <c r="J49" s="12">
        <f t="shared" si="7"/>
        <v>-0.90454096742349455</v>
      </c>
      <c r="K49" s="25">
        <f>0.0501+0.0466</f>
        <v>9.6700000000000008E-2</v>
      </c>
      <c r="M49" s="22">
        <f>0.566+0.447</f>
        <v>1.0129999999999999</v>
      </c>
    </row>
    <row r="50" spans="1:13">
      <c r="I50" s="1" t="s">
        <v>96</v>
      </c>
      <c r="J50" s="12">
        <f t="shared" si="7"/>
        <v>1.1615087040618957</v>
      </c>
      <c r="K50" s="26">
        <v>2235</v>
      </c>
      <c r="M50" s="26">
        <v>1034</v>
      </c>
    </row>
    <row r="51" spans="1:13">
      <c r="A51" s="10" t="s">
        <v>85</v>
      </c>
      <c r="B51" s="7"/>
    </row>
    <row r="52" spans="1:13">
      <c r="A52" s="1" t="s">
        <v>90</v>
      </c>
      <c r="B52" s="2" t="s">
        <v>42</v>
      </c>
      <c r="C52" s="17">
        <f>C20/C19</f>
        <v>-0.27887298586731479</v>
      </c>
      <c r="E52" s="17">
        <f>E20/E19</f>
        <v>-0.25146396396396398</v>
      </c>
    </row>
    <row r="53" spans="1:13">
      <c r="A53" s="1" t="s">
        <v>86</v>
      </c>
      <c r="B53" s="2" t="s">
        <v>42</v>
      </c>
      <c r="C53" s="27">
        <f>K50/C8</f>
        <v>1.2384878811051634E-2</v>
      </c>
      <c r="E53" s="27">
        <f>M50/E8</f>
        <v>6.4437727853425978E-3</v>
      </c>
    </row>
    <row r="54" spans="1:13">
      <c r="A54" s="1" t="s">
        <v>87</v>
      </c>
      <c r="B54" s="2" t="s">
        <v>42</v>
      </c>
      <c r="C54" s="17">
        <f>(K6+K7)/K24</f>
        <v>4.3370490196784864E-2</v>
      </c>
      <c r="E54" s="17">
        <f>(M6+M7)/M24</f>
        <v>2.3834427721928449E-2</v>
      </c>
    </row>
    <row r="55" spans="1:13">
      <c r="A55" s="1" t="s">
        <v>88</v>
      </c>
      <c r="B55" s="2" t="s">
        <v>42</v>
      </c>
      <c r="C55" s="17">
        <f>(K6+K7)/K42</f>
        <v>9.5950900685477444E-2</v>
      </c>
      <c r="E55" s="17">
        <f>(M6+M7)/M42</f>
        <v>5.1495051369504719E-2</v>
      </c>
    </row>
    <row r="56" spans="1:13">
      <c r="A56" s="24" t="s">
        <v>89</v>
      </c>
      <c r="B56" s="2" t="s">
        <v>42</v>
      </c>
      <c r="C56" s="17">
        <f>(K48/1000)/K42</f>
        <v>3.3153196237844731</v>
      </c>
      <c r="E56" s="17">
        <f>(M48/1000)/M42</f>
        <v>3.1912284739804564</v>
      </c>
    </row>
  </sheetData>
  <phoneticPr fontId="9" type="noConversion"/>
  <pageMargins left="0.75000000000000011" right="0.75000000000000011" top="1" bottom="1" header="0.5" footer="0.5"/>
  <pageSetup paperSize="9" scale="52" orientation="landscape" horizontalDpi="4294967292" verticalDpi="4294967292"/>
  <headerFooter>
    <oddHeader>&amp;L&amp;"Calibri,Regular"&amp;K000000SM 4.1  Good Group Ratio Analysis - Solution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Ratios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Smith</dc:creator>
  <cp:lastModifiedBy>Paul Smith</cp:lastModifiedBy>
  <cp:lastPrinted>2018-01-30T10:29:17Z</cp:lastPrinted>
  <dcterms:created xsi:type="dcterms:W3CDTF">2016-02-29T15:11:08Z</dcterms:created>
  <dcterms:modified xsi:type="dcterms:W3CDTF">2018-01-30T10:30:02Z</dcterms:modified>
</cp:coreProperties>
</file>