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60" yWindow="65516" windowWidth="4610" windowHeight="7860" activeTab="0"/>
  </bookViews>
  <sheets>
    <sheet name="Capacity Analysis" sheetId="1" r:id="rId1"/>
    <sheet name="Alternatives" sheetId="2" r:id="rId2"/>
  </sheets>
  <definedNames/>
  <calcPr fullCalcOnLoad="1"/>
</workbook>
</file>

<file path=xl/sharedStrings.xml><?xml version="1.0" encoding="utf-8"?>
<sst xmlns="http://schemas.openxmlformats.org/spreadsheetml/2006/main" count="274" uniqueCount="136">
  <si>
    <t xml:space="preserve">    M1</t>
  </si>
  <si>
    <t xml:space="preserve">    M2</t>
  </si>
  <si>
    <t xml:space="preserve">   M3</t>
  </si>
  <si>
    <t xml:space="preserve">   M4</t>
  </si>
  <si>
    <t xml:space="preserve">   M5</t>
  </si>
  <si>
    <t>PZ1</t>
  </si>
  <si>
    <t>PZ2</t>
  </si>
  <si>
    <t>PZ3</t>
  </si>
  <si>
    <t>PZ4</t>
  </si>
  <si>
    <t>DI1</t>
  </si>
  <si>
    <t>DI2</t>
  </si>
  <si>
    <t>DI3</t>
  </si>
  <si>
    <t>DI4</t>
  </si>
  <si>
    <t>DI5</t>
  </si>
  <si>
    <t>RO1</t>
  </si>
  <si>
    <t>RO2</t>
  </si>
  <si>
    <t>RO3</t>
  </si>
  <si>
    <t>RO4</t>
  </si>
  <si>
    <t>RO5</t>
  </si>
  <si>
    <t>M1</t>
  </si>
  <si>
    <t>M2</t>
  </si>
  <si>
    <t>M3</t>
  </si>
  <si>
    <t>M4</t>
  </si>
  <si>
    <t>M5</t>
  </si>
  <si>
    <t>Total</t>
  </si>
  <si>
    <t>Project Data</t>
  </si>
  <si>
    <t>Production target (num/y)</t>
  </si>
  <si>
    <t>Part Number</t>
  </si>
  <si>
    <t>Set-up times [TPMi,j] (h/set-up)</t>
  </si>
  <si>
    <t>Annual working days</t>
  </si>
  <si>
    <t>Working hours for  shift</t>
  </si>
  <si>
    <t>Mechoff Case (Jobshop)</t>
  </si>
  <si>
    <t>SP1</t>
  </si>
  <si>
    <t>SP2</t>
  </si>
  <si>
    <t>SP3</t>
  </si>
  <si>
    <t>SP4</t>
  </si>
  <si>
    <t>Type of machine</t>
  </si>
  <si>
    <t xml:space="preserve">Universal miller </t>
  </si>
  <si>
    <t>Machining Center</t>
  </si>
  <si>
    <t>Lathe</t>
  </si>
  <si>
    <t>Face Grinder</t>
  </si>
  <si>
    <t>Numbers of machines</t>
  </si>
  <si>
    <t>Coefficients</t>
  </si>
  <si>
    <t>Machine lifetime indicator</t>
  </si>
  <si>
    <t>Availability of machines</t>
  </si>
  <si>
    <t>Human coefficient</t>
  </si>
  <si>
    <t>Scheduling coefficient</t>
  </si>
  <si>
    <t>Annual req. Capacity M1</t>
  </si>
  <si>
    <t>N. of lots per year</t>
  </si>
  <si>
    <t>Setup time (hours/setup)</t>
  </si>
  <si>
    <t>Setup hours(hours/year)</t>
  </si>
  <si>
    <t>Total - scraps</t>
  </si>
  <si>
    <t>REQUIRED CAPACITY COMPUTATION</t>
  </si>
  <si>
    <t>CURRENT AVAILABLE CAPACITY</t>
  </si>
  <si>
    <t>Working time available</t>
  </si>
  <si>
    <t>Scheduling efficiency</t>
  </si>
  <si>
    <t>Current available capacity</t>
  </si>
  <si>
    <t>Alternative a: OVERTIME</t>
  </si>
  <si>
    <t>hours/weekday</t>
  </si>
  <si>
    <t>hours/Saturday</t>
  </si>
  <si>
    <t>OT per single machine</t>
  </si>
  <si>
    <t>OT_M1</t>
  </si>
  <si>
    <t>Alternative b: THIRD SHIFT</t>
  </si>
  <si>
    <t>Required capacity</t>
  </si>
  <si>
    <t>hours/year</t>
  </si>
  <si>
    <t>Missing capacity</t>
  </si>
  <si>
    <t>Additional hours per each new machine</t>
  </si>
  <si>
    <t>Number of new machines</t>
  </si>
  <si>
    <t>Economic evaluation</t>
  </si>
  <si>
    <t>Investment cost</t>
  </si>
  <si>
    <t>Operator cost</t>
  </si>
  <si>
    <t>Total cost</t>
  </si>
  <si>
    <t>First shift</t>
  </si>
  <si>
    <t>days/year</t>
  </si>
  <si>
    <t>Hours/shift</t>
  </si>
  <si>
    <t>Euro/hour</t>
  </si>
  <si>
    <t>Second shift</t>
  </si>
  <si>
    <t>Third shift</t>
  </si>
  <si>
    <t>Alternative d: NEW MACHINES</t>
  </si>
  <si>
    <t>Alternative c: THIRD SHIFT + NEW MACHINES</t>
  </si>
  <si>
    <t>c</t>
  </si>
  <si>
    <t>Saturation level</t>
  </si>
  <si>
    <t>Missing hours/ year</t>
  </si>
  <si>
    <t>Req. Capacity with new machines (h/y)</t>
  </si>
  <si>
    <t>Additional hours / year with 3rd shift</t>
  </si>
  <si>
    <t>Alternative e: OVERTIME + NEW MACHINES (2 SHIFTS)</t>
  </si>
  <si>
    <t>OT_M5</t>
  </si>
  <si>
    <t>Overtime cost</t>
  </si>
  <si>
    <t>Overtime</t>
  </si>
  <si>
    <t>COMPARISON OF ALTERNATIVES</t>
  </si>
  <si>
    <t>#</t>
  </si>
  <si>
    <t>Alternative</t>
  </si>
  <si>
    <t>Total Cost</t>
  </si>
  <si>
    <t>a</t>
  </si>
  <si>
    <t>b</t>
  </si>
  <si>
    <t>d</t>
  </si>
  <si>
    <t>e</t>
  </si>
  <si>
    <t>f</t>
  </si>
  <si>
    <t>Alternative f: OVERTIME + NEW MACHINES + 3rd SHIFT</t>
  </si>
  <si>
    <t>Data for OVERTIME:</t>
  </si>
  <si>
    <t>Annual demand</t>
  </si>
  <si>
    <t>Annual Batches</t>
  </si>
  <si>
    <t>Annual demand (units/year)</t>
  </si>
  <si>
    <t>Annual req. Capacity M5</t>
  </si>
  <si>
    <t>Number of shifts</t>
  </si>
  <si>
    <t>shifts</t>
  </si>
  <si>
    <t>NOT ENOUGH!!</t>
  </si>
  <si>
    <t>Number of additional operators/shift M5</t>
  </si>
  <si>
    <t>Number of additional operators/shift M1</t>
  </si>
  <si>
    <t>Machine cost (euros)</t>
  </si>
  <si>
    <t>euro/year</t>
  </si>
  <si>
    <t>Third shift + new machines</t>
  </si>
  <si>
    <t>New machines</t>
  </si>
  <si>
    <t>Overtime + new machines (2 shifts)</t>
  </si>
  <si>
    <t>Overtime + new machines + 3rd shift</t>
  </si>
  <si>
    <t>Not enough</t>
  </si>
  <si>
    <t>Least cost alternative</t>
  </si>
  <si>
    <t>DATA</t>
  </si>
  <si>
    <t>SOLUTION: what is the missing capacity?</t>
  </si>
  <si>
    <t xml:space="preserve">Number of overtime hours </t>
  </si>
  <si>
    <t>Number of third shift hours</t>
  </si>
  <si>
    <t>SOLUTION: what is the most convenient alternative in order to satisfy the required demand?</t>
  </si>
  <si>
    <t>Single machine available time (with overtime)</t>
  </si>
  <si>
    <t>Number of machines needed</t>
  </si>
  <si>
    <t>Already installed machines</t>
  </si>
  <si>
    <t>Required new machines</t>
  </si>
  <si>
    <t>Number of M1</t>
  </si>
  <si>
    <t>Number of M5</t>
  </si>
  <si>
    <t>Missing hours / year</t>
  </si>
  <si>
    <t>Required tot capacity</t>
  </si>
  <si>
    <t>Working time (hours/unit)</t>
  </si>
  <si>
    <t>Scrap rate</t>
  </si>
  <si>
    <t>Batches / year</t>
  </si>
  <si>
    <t>Required hours (hours / year)</t>
  </si>
  <si>
    <t>Drilling Machine</t>
  </si>
  <si>
    <t>Total considering scraps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</si>
</sst>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h\.mm\ AM/PM"/>
    <numFmt numFmtId="187" formatCode="h\.mm\.ss\ AM/PM"/>
    <numFmt numFmtId="188" formatCode="h\.mm"/>
    <numFmt numFmtId="189" formatCode="h\.mm\.ss"/>
    <numFmt numFmtId="190" formatCode="dd/mm/yy\ h\.mm"/>
    <numFmt numFmtId="191" formatCode="0_)"/>
    <numFmt numFmtId="192" formatCode="\ #,##0;\-\ #,##0"/>
    <numFmt numFmtId="193" formatCode="\ #,##0;[Red]\-\ #,##0"/>
    <numFmt numFmtId="194" formatCode="0.0000"/>
    <numFmt numFmtId="195" formatCode="0.000"/>
    <numFmt numFmtId="196" formatCode="0.00000000"/>
    <numFmt numFmtId="197" formatCode="0.0000000"/>
    <numFmt numFmtId="198" formatCode="0.000000"/>
    <numFmt numFmtId="199" formatCode="0.00000"/>
    <numFmt numFmtId="200" formatCode="0.0"/>
    <numFmt numFmtId="201" formatCode="#,##0.0"/>
    <numFmt numFmtId="202" formatCode="#,##0.0;[Red]\-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20"/>
      <name val="MS Sans Serif"/>
      <family val="2"/>
    </font>
    <font>
      <u val="single"/>
      <sz val="10"/>
      <color indexed="12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1"/>
      <color indexed="23"/>
      <name val="Arial"/>
      <family val="2"/>
    </font>
    <font>
      <b/>
      <u val="single"/>
      <sz val="10"/>
      <name val="MS Sans Serif"/>
      <family val="2"/>
    </font>
    <font>
      <sz val="18"/>
      <name val="MS Sans Serif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wrapTex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81" fontId="7" fillId="0" borderId="14" xfId="0" applyNumberFormat="1" applyFont="1" applyFill="1" applyBorder="1" applyAlignment="1" applyProtection="1">
      <alignment horizontal="center"/>
      <protection locked="0"/>
    </xf>
    <xf numFmtId="38" fontId="6" fillId="0" borderId="20" xfId="45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38" fontId="6" fillId="0" borderId="21" xfId="45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right"/>
      <protection locked="0"/>
    </xf>
    <xf numFmtId="181" fontId="7" fillId="0" borderId="13" xfId="0" applyNumberFormat="1" applyFont="1" applyFill="1" applyBorder="1" applyAlignment="1" applyProtection="1">
      <alignment horizontal="center"/>
      <protection locked="0"/>
    </xf>
    <xf numFmtId="20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wrapText="1"/>
      <protection locked="0"/>
    </xf>
    <xf numFmtId="200" fontId="6" fillId="0" borderId="11" xfId="0" applyNumberFormat="1" applyFont="1" applyBorder="1" applyAlignment="1" applyProtection="1">
      <alignment horizontal="center" vertical="center"/>
      <protection locked="0"/>
    </xf>
    <xf numFmtId="200" fontId="6" fillId="0" borderId="12" xfId="0" applyNumberFormat="1" applyFont="1" applyBorder="1" applyAlignment="1" applyProtection="1">
      <alignment horizontal="center" vertical="center"/>
      <protection locked="0"/>
    </xf>
    <xf numFmtId="200" fontId="6" fillId="0" borderId="0" xfId="0" applyNumberFormat="1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wrapText="1"/>
      <protection locked="0"/>
    </xf>
    <xf numFmtId="3" fontId="6" fillId="0" borderId="0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0" fillId="0" borderId="26" xfId="0" applyFont="1" applyFill="1" applyBorder="1" applyAlignment="1" applyProtection="1">
      <alignment horizontal="right"/>
      <protection locked="0"/>
    </xf>
    <xf numFmtId="181" fontId="7" fillId="0" borderId="27" xfId="0" applyNumberFormat="1" applyFont="1" applyFill="1" applyBorder="1" applyAlignment="1" applyProtection="1">
      <alignment horizontal="center"/>
      <protection locked="0"/>
    </xf>
    <xf numFmtId="193" fontId="7" fillId="0" borderId="28" xfId="0" applyNumberFormat="1" applyFont="1" applyFill="1" applyBorder="1" applyAlignment="1" applyProtection="1">
      <alignment horizontal="center"/>
      <protection locked="0"/>
    </xf>
    <xf numFmtId="193" fontId="7" fillId="0" borderId="29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181" fontId="7" fillId="0" borderId="28" xfId="0" applyNumberFormat="1" applyFont="1" applyFill="1" applyBorder="1" applyAlignment="1" applyProtection="1">
      <alignment horizontal="center"/>
      <protection locked="0"/>
    </xf>
    <xf numFmtId="181" fontId="7" fillId="0" borderId="29" xfId="0" applyNumberFormat="1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/>
      <protection locked="0"/>
    </xf>
    <xf numFmtId="0" fontId="8" fillId="0" borderId="3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181" fontId="7" fillId="0" borderId="16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91" fontId="6" fillId="0" borderId="20" xfId="0" applyNumberFormat="1" applyFont="1" applyBorder="1" applyAlignment="1" applyProtection="1">
      <alignment horizontal="center"/>
      <protection locked="0"/>
    </xf>
    <xf numFmtId="191" fontId="6" fillId="0" borderId="21" xfId="0" applyNumberFormat="1" applyFont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/>
    </xf>
    <xf numFmtId="0" fontId="8" fillId="0" borderId="33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/>
    </xf>
    <xf numFmtId="0" fontId="7" fillId="0" borderId="18" xfId="0" applyFont="1" applyBorder="1" applyAlignment="1" applyProtection="1">
      <alignment wrapText="1"/>
      <protection locked="0"/>
    </xf>
    <xf numFmtId="200" fontId="6" fillId="0" borderId="24" xfId="0" applyNumberFormat="1" applyFont="1" applyBorder="1" applyAlignment="1" applyProtection="1">
      <alignment horizontal="center" vertical="center"/>
      <protection locked="0"/>
    </xf>
    <xf numFmtId="200" fontId="6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/>
    </xf>
    <xf numFmtId="0" fontId="7" fillId="0" borderId="31" xfId="0" applyFont="1" applyBorder="1" applyAlignment="1" applyProtection="1">
      <alignment wrapText="1"/>
      <protection locked="0"/>
    </xf>
    <xf numFmtId="200" fontId="6" fillId="0" borderId="25" xfId="0" applyNumberFormat="1" applyFont="1" applyBorder="1" applyAlignment="1" applyProtection="1">
      <alignment horizontal="center" vertical="center"/>
      <protection locked="0"/>
    </xf>
    <xf numFmtId="0" fontId="1" fillId="33" borderId="37" xfId="0" applyFont="1" applyFill="1" applyBorder="1" applyAlignment="1">
      <alignment/>
    </xf>
    <xf numFmtId="1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vertical="center" wrapText="1"/>
      <protection locked="0"/>
    </xf>
    <xf numFmtId="0" fontId="7" fillId="0" borderId="19" xfId="0" applyFont="1" applyFill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1" fontId="7" fillId="0" borderId="17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30" fillId="0" borderId="0" xfId="0" applyFont="1" applyAlignment="1">
      <alignment/>
    </xf>
    <xf numFmtId="0" fontId="31" fillId="33" borderId="37" xfId="0" applyFont="1" applyFill="1" applyBorder="1" applyAlignment="1">
      <alignment/>
    </xf>
    <xf numFmtId="1" fontId="7" fillId="33" borderId="20" xfId="0" applyNumberFormat="1" applyFont="1" applyFill="1" applyBorder="1" applyAlignment="1" applyProtection="1">
      <alignment horizontal="center" vertical="center"/>
      <protection locked="0"/>
    </xf>
    <xf numFmtId="1" fontId="7" fillId="33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1" fontId="7" fillId="0" borderId="19" xfId="0" applyNumberFormat="1" applyFont="1" applyBorder="1" applyAlignment="1" applyProtection="1">
      <alignment horizontal="center" vertical="center" wrapText="1"/>
      <protection locked="0"/>
    </xf>
    <xf numFmtId="1" fontId="7" fillId="0" borderId="15" xfId="0" applyNumberFormat="1" applyFont="1" applyFill="1" applyBorder="1" applyAlignment="1" applyProtection="1">
      <alignment horizontal="center" vertical="center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30" fillId="0" borderId="14" xfId="0" applyFont="1" applyFill="1" applyBorder="1" applyAlignment="1">
      <alignment/>
    </xf>
    <xf numFmtId="0" fontId="0" fillId="0" borderId="20" xfId="0" applyBorder="1" applyAlignment="1">
      <alignment/>
    </xf>
    <xf numFmtId="0" fontId="30" fillId="0" borderId="16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1" fillId="0" borderId="18" xfId="0" applyFont="1" applyBorder="1" applyAlignment="1">
      <alignment/>
    </xf>
    <xf numFmtId="0" fontId="6" fillId="0" borderId="19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0" fillId="0" borderId="38" xfId="0" applyFont="1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40" xfId="0" applyBorder="1" applyAlignment="1">
      <alignment/>
    </xf>
    <xf numFmtId="0" fontId="0" fillId="0" borderId="16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42" xfId="0" applyFont="1" applyBorder="1" applyAlignment="1">
      <alignment/>
    </xf>
    <xf numFmtId="0" fontId="6" fillId="0" borderId="14" xfId="0" applyFont="1" applyBorder="1" applyAlignment="1" applyProtection="1">
      <alignment horizontal="center" wrapText="1"/>
      <protection locked="0"/>
    </xf>
    <xf numFmtId="1" fontId="6" fillId="0" borderId="15" xfId="0" applyNumberFormat="1" applyFont="1" applyFill="1" applyBorder="1" applyAlignment="1" applyProtection="1">
      <alignment horizontal="center" vertical="center"/>
      <protection locked="0"/>
    </xf>
    <xf numFmtId="1" fontId="6" fillId="0" borderId="20" xfId="0" applyNumberFormat="1" applyFont="1" applyFill="1" applyBorder="1" applyAlignment="1" applyProtection="1">
      <alignment horizontal="center" vertical="center"/>
      <protection locked="0"/>
    </xf>
    <xf numFmtId="2" fontId="6" fillId="0" borderId="15" xfId="0" applyNumberFormat="1" applyFont="1" applyFill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 locked="0"/>
    </xf>
    <xf numFmtId="1" fontId="6" fillId="0" borderId="24" xfId="0" applyNumberFormat="1" applyFont="1" applyBorder="1" applyAlignment="1" applyProtection="1">
      <alignment horizontal="center" vertical="center"/>
      <protection locked="0"/>
    </xf>
    <xf numFmtId="1" fontId="6" fillId="0" borderId="19" xfId="0" applyNumberFormat="1" applyFont="1" applyBorder="1" applyAlignment="1" applyProtection="1">
      <alignment horizontal="center" vertical="center"/>
      <protection locked="0"/>
    </xf>
    <xf numFmtId="200" fontId="7" fillId="0" borderId="15" xfId="0" applyNumberFormat="1" applyFont="1" applyBorder="1" applyAlignment="1" applyProtection="1">
      <alignment horizontal="center" vertical="center"/>
      <protection locked="0"/>
    </xf>
    <xf numFmtId="200" fontId="7" fillId="0" borderId="17" xfId="0" applyNumberFormat="1" applyFont="1" applyBorder="1" applyAlignment="1" applyProtection="1">
      <alignment horizontal="center" vertical="center"/>
      <protection locked="0"/>
    </xf>
    <xf numFmtId="0" fontId="11" fillId="33" borderId="0" xfId="0" applyFont="1" applyFill="1" applyAlignment="1">
      <alignment/>
    </xf>
    <xf numFmtId="0" fontId="0" fillId="0" borderId="0" xfId="0" applyFont="1" applyAlignment="1">
      <alignment/>
    </xf>
    <xf numFmtId="1" fontId="0" fillId="0" borderId="15" xfId="0" applyNumberFormat="1" applyBorder="1" applyAlignment="1">
      <alignment/>
    </xf>
    <xf numFmtId="1" fontId="0" fillId="0" borderId="20" xfId="0" applyNumberFormat="1" applyBorder="1" applyAlignment="1">
      <alignment/>
    </xf>
    <xf numFmtId="9" fontId="0" fillId="0" borderId="17" xfId="50" applyFont="1" applyBorder="1" applyAlignment="1">
      <alignment/>
    </xf>
    <xf numFmtId="9" fontId="0" fillId="0" borderId="21" xfId="5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6" fillId="0" borderId="24" xfId="0" applyFont="1" applyBorder="1" applyAlignment="1" applyProtection="1">
      <alignment horizontal="center" wrapText="1"/>
      <protection locked="0"/>
    </xf>
    <xf numFmtId="38" fontId="6" fillId="0" borderId="20" xfId="45" applyNumberFormat="1" applyFont="1" applyBorder="1" applyAlignment="1" applyProtection="1">
      <alignment/>
      <protection locked="0"/>
    </xf>
    <xf numFmtId="38" fontId="6" fillId="0" borderId="21" xfId="45" applyNumberFormat="1" applyFont="1" applyBorder="1" applyAlignment="1" applyProtection="1">
      <alignment/>
      <protection locked="0"/>
    </xf>
    <xf numFmtId="0" fontId="0" fillId="33" borderId="14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0" fillId="0" borderId="15" xfId="0" applyNumberFormat="1" applyFill="1" applyBorder="1" applyAlignment="1">
      <alignment/>
    </xf>
    <xf numFmtId="200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1" fontId="0" fillId="0" borderId="20" xfId="0" applyNumberFormat="1" applyFill="1" applyBorder="1" applyAlignment="1">
      <alignment/>
    </xf>
    <xf numFmtId="200" fontId="0" fillId="0" borderId="20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17" xfId="0" applyNumberFormat="1" applyBorder="1" applyAlignment="1">
      <alignment/>
    </xf>
    <xf numFmtId="0" fontId="6" fillId="0" borderId="46" xfId="0" applyFont="1" applyBorder="1" applyAlignment="1" applyProtection="1">
      <alignment wrapText="1"/>
      <protection locked="0"/>
    </xf>
    <xf numFmtId="0" fontId="6" fillId="0" borderId="16" xfId="0" applyFont="1" applyBorder="1" applyAlignment="1" applyProtection="1">
      <alignment horizontal="center" wrapText="1"/>
      <protection locked="0"/>
    </xf>
    <xf numFmtId="0" fontId="6" fillId="0" borderId="47" xfId="0" applyFont="1" applyBorder="1" applyAlignment="1" applyProtection="1">
      <alignment wrapText="1"/>
      <protection locked="0"/>
    </xf>
    <xf numFmtId="0" fontId="30" fillId="0" borderId="18" xfId="0" applyFont="1" applyBorder="1" applyAlignment="1">
      <alignment/>
    </xf>
    <xf numFmtId="0" fontId="30" fillId="0" borderId="19" xfId="0" applyFont="1" applyBorder="1" applyAlignment="1">
      <alignment/>
    </xf>
    <xf numFmtId="0" fontId="30" fillId="0" borderId="14" xfId="0" applyFont="1" applyBorder="1" applyAlignment="1">
      <alignment/>
    </xf>
    <xf numFmtId="0" fontId="30" fillId="33" borderId="20" xfId="0" applyFont="1" applyFill="1" applyBorder="1" applyAlignment="1">
      <alignment/>
    </xf>
    <xf numFmtId="0" fontId="30" fillId="0" borderId="16" xfId="0" applyFont="1" applyBorder="1" applyAlignment="1">
      <alignment/>
    </xf>
    <xf numFmtId="0" fontId="30" fillId="33" borderId="21" xfId="0" applyFont="1" applyFill="1" applyBorder="1" applyAlignment="1">
      <alignment/>
    </xf>
    <xf numFmtId="1" fontId="30" fillId="0" borderId="48" xfId="0" applyNumberFormat="1" applyFont="1" applyBorder="1" applyAlignment="1">
      <alignment/>
    </xf>
    <xf numFmtId="1" fontId="30" fillId="0" borderId="4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7" fillId="0" borderId="49" xfId="0" applyFont="1" applyBorder="1" applyAlignment="1" applyProtection="1">
      <alignment horizontal="center"/>
      <protection locked="0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12" fillId="2" borderId="49" xfId="0" applyFont="1" applyFill="1" applyBorder="1" applyAlignment="1">
      <alignment horizontal="center"/>
    </xf>
    <xf numFmtId="0" fontId="12" fillId="2" borderId="50" xfId="0" applyFont="1" applyFill="1" applyBorder="1" applyAlignment="1">
      <alignment horizontal="center"/>
    </xf>
    <xf numFmtId="0" fontId="12" fillId="2" borderId="51" xfId="0" applyFont="1" applyFill="1" applyBorder="1" applyAlignment="1">
      <alignment horizontal="center"/>
    </xf>
    <xf numFmtId="0" fontId="13" fillId="33" borderId="49" xfId="0" applyFont="1" applyFill="1" applyBorder="1" applyAlignment="1" applyProtection="1">
      <alignment horizontal="center"/>
      <protection locked="0"/>
    </xf>
    <xf numFmtId="0" fontId="13" fillId="33" borderId="50" xfId="0" applyFont="1" applyFill="1" applyBorder="1" applyAlignment="1" applyProtection="1">
      <alignment horizontal="center"/>
      <protection locked="0"/>
    </xf>
    <xf numFmtId="0" fontId="13" fillId="33" borderId="51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8" fillId="34" borderId="31" xfId="0" applyFont="1" applyFill="1" applyBorder="1" applyAlignment="1" applyProtection="1">
      <alignment horizontal="center"/>
      <protection locked="0"/>
    </xf>
    <xf numFmtId="0" fontId="8" fillId="34" borderId="25" xfId="0" applyFont="1" applyFill="1" applyBorder="1" applyAlignment="1" applyProtection="1">
      <alignment horizontal="center"/>
      <protection locked="0"/>
    </xf>
    <xf numFmtId="0" fontId="8" fillId="34" borderId="30" xfId="0" applyFont="1" applyFill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wrapText="1"/>
      <protection locked="0"/>
    </xf>
    <xf numFmtId="0" fontId="7" fillId="0" borderId="33" xfId="0" applyFont="1" applyBorder="1" applyAlignment="1" applyProtection="1">
      <alignment horizontal="center" wrapText="1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8" fillId="34" borderId="49" xfId="0" applyFont="1" applyFill="1" applyBorder="1" applyAlignment="1" applyProtection="1">
      <alignment horizontal="center"/>
      <protection locked="0"/>
    </xf>
    <xf numFmtId="0" fontId="8" fillId="34" borderId="50" xfId="0" applyFont="1" applyFill="1" applyBorder="1" applyAlignment="1" applyProtection="1">
      <alignment horizontal="center"/>
      <protection locked="0"/>
    </xf>
    <xf numFmtId="0" fontId="8" fillId="34" borderId="51" xfId="0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7"/>
  <sheetViews>
    <sheetView tabSelected="1" zoomScalePageLayoutView="0" workbookViewId="0" topLeftCell="A61">
      <selection activeCell="F69" sqref="F69"/>
    </sheetView>
  </sheetViews>
  <sheetFormatPr defaultColWidth="9.140625" defaultRowHeight="12.75"/>
  <cols>
    <col min="1" max="1" width="41.00390625" style="0" bestFit="1" customWidth="1"/>
    <col min="2" max="2" width="15.00390625" style="0" customWidth="1"/>
    <col min="3" max="3" width="31.00390625" style="0" customWidth="1"/>
    <col min="4" max="4" width="12.28125" style="0" customWidth="1"/>
    <col min="5" max="5" width="13.140625" style="0" customWidth="1"/>
    <col min="6" max="6" width="10.140625" style="0" customWidth="1"/>
    <col min="8" max="8" width="11.57421875" style="0" customWidth="1"/>
    <col min="10" max="10" width="22.00390625" style="0" bestFit="1" customWidth="1"/>
    <col min="11" max="11" width="16.7109375" style="0" customWidth="1"/>
    <col min="12" max="12" width="11.00390625" style="0" bestFit="1" customWidth="1"/>
  </cols>
  <sheetData>
    <row r="1" ht="12.75">
      <c r="A1" s="52"/>
    </row>
    <row r="2" ht="12.75">
      <c r="A2" s="52"/>
    </row>
    <row r="3" ht="13.5" thickBot="1"/>
    <row r="4" spans="1:15" ht="25.5" thickBot="1">
      <c r="A4" s="52" t="s">
        <v>31</v>
      </c>
      <c r="B4" s="205" t="s">
        <v>117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7"/>
    </row>
    <row r="5" spans="2:19" ht="14.25" thickBot="1">
      <c r="B5" s="1"/>
      <c r="C5" s="2"/>
      <c r="D5" s="1"/>
      <c r="E5" s="6"/>
      <c r="F5" s="1"/>
      <c r="G5" s="1"/>
      <c r="H5" s="3"/>
      <c r="I5" s="3"/>
      <c r="J5" s="1"/>
      <c r="K5" s="2"/>
      <c r="L5" s="1"/>
      <c r="M5" s="1"/>
      <c r="N5" s="1"/>
      <c r="O5" s="1"/>
      <c r="P5" s="1"/>
      <c r="Q5" s="1"/>
      <c r="R5" s="1"/>
      <c r="S5" s="1"/>
    </row>
    <row r="6" spans="2:19" ht="15" thickBot="1">
      <c r="B6" s="1"/>
      <c r="C6" s="219" t="s">
        <v>25</v>
      </c>
      <c r="D6" s="220"/>
      <c r="E6" s="220"/>
      <c r="F6" s="220"/>
      <c r="G6" s="220"/>
      <c r="H6" s="221"/>
      <c r="I6" s="3"/>
      <c r="J6" s="1"/>
      <c r="K6" s="1"/>
      <c r="L6" s="1"/>
      <c r="M6" s="1"/>
      <c r="N6" s="1"/>
      <c r="O6" s="1"/>
      <c r="P6" s="1"/>
      <c r="Q6" s="1"/>
      <c r="R6" s="1"/>
      <c r="S6" s="1"/>
    </row>
    <row r="7" spans="2:19" ht="14.25" thickBot="1">
      <c r="B7" s="1"/>
      <c r="C7" s="225" t="s">
        <v>130</v>
      </c>
      <c r="D7" s="226"/>
      <c r="E7" s="226"/>
      <c r="F7" s="226"/>
      <c r="G7" s="226"/>
      <c r="H7" s="227"/>
      <c r="I7" s="3"/>
      <c r="J7" s="200" t="s">
        <v>28</v>
      </c>
      <c r="K7" s="201"/>
      <c r="L7" s="201"/>
      <c r="M7" s="201"/>
      <c r="N7" s="201"/>
      <c r="O7" s="202"/>
      <c r="P7" s="1"/>
      <c r="Q7" s="1"/>
      <c r="R7" s="1"/>
      <c r="S7" s="1"/>
    </row>
    <row r="8" spans="2:19" ht="14.25" thickBot="1">
      <c r="B8" s="1"/>
      <c r="C8" s="53"/>
      <c r="D8" s="58" t="s">
        <v>0</v>
      </c>
      <c r="E8" s="58" t="s">
        <v>1</v>
      </c>
      <c r="F8" s="58" t="s">
        <v>2</v>
      </c>
      <c r="G8" s="58" t="s">
        <v>3</v>
      </c>
      <c r="H8" s="59" t="s">
        <v>4</v>
      </c>
      <c r="I8" s="3"/>
      <c r="J8" s="53"/>
      <c r="K8" s="65" t="s">
        <v>0</v>
      </c>
      <c r="L8" s="65" t="s">
        <v>1</v>
      </c>
      <c r="M8" s="65" t="s">
        <v>2</v>
      </c>
      <c r="N8" s="65" t="s">
        <v>3</v>
      </c>
      <c r="O8" s="66" t="s">
        <v>4</v>
      </c>
      <c r="P8" s="1"/>
      <c r="Q8" s="1"/>
      <c r="R8" s="1"/>
      <c r="S8" s="1"/>
    </row>
    <row r="9" spans="2:19" ht="13.5">
      <c r="B9" s="7">
        <v>1</v>
      </c>
      <c r="C9" s="54" t="s">
        <v>5</v>
      </c>
      <c r="D9" s="60">
        <v>0.55</v>
      </c>
      <c r="E9" s="49">
        <v>1.25</v>
      </c>
      <c r="F9" s="49">
        <v>0</v>
      </c>
      <c r="G9" s="49">
        <v>0</v>
      </c>
      <c r="H9" s="61">
        <v>0</v>
      </c>
      <c r="I9" s="3"/>
      <c r="J9" s="54" t="str">
        <f>C9</f>
        <v>PZ1</v>
      </c>
      <c r="K9" s="60">
        <v>3</v>
      </c>
      <c r="L9" s="49">
        <v>3</v>
      </c>
      <c r="M9" s="49">
        <v>0</v>
      </c>
      <c r="N9" s="49">
        <v>0</v>
      </c>
      <c r="O9" s="61">
        <v>0</v>
      </c>
      <c r="P9" s="1"/>
      <c r="Q9" s="1"/>
      <c r="R9" s="1"/>
      <c r="S9" s="1"/>
    </row>
    <row r="10" spans="2:19" ht="13.5">
      <c r="B10" s="7">
        <f>B9+1</f>
        <v>2</v>
      </c>
      <c r="C10" s="55" t="s">
        <v>6</v>
      </c>
      <c r="D10" s="40">
        <v>0.25</v>
      </c>
      <c r="E10" s="8">
        <v>0</v>
      </c>
      <c r="F10" s="8">
        <v>0.5</v>
      </c>
      <c r="G10" s="8">
        <v>0.2</v>
      </c>
      <c r="H10" s="9">
        <v>0</v>
      </c>
      <c r="I10" s="3"/>
      <c r="J10" s="63" t="str">
        <f aca="true" t="shared" si="0" ref="J10:J26">C10</f>
        <v>PZ2</v>
      </c>
      <c r="K10" s="40">
        <v>1.5</v>
      </c>
      <c r="L10" s="8">
        <v>0</v>
      </c>
      <c r="M10" s="8">
        <v>3</v>
      </c>
      <c r="N10" s="8">
        <v>2</v>
      </c>
      <c r="O10" s="9">
        <v>0</v>
      </c>
      <c r="P10" s="1"/>
      <c r="Q10" s="1"/>
      <c r="R10" s="1"/>
      <c r="S10" s="1"/>
    </row>
    <row r="11" spans="2:19" ht="13.5">
      <c r="B11" s="7">
        <f aca="true" t="shared" si="1" ref="B11:B22">B10+1</f>
        <v>3</v>
      </c>
      <c r="C11" s="55" t="s">
        <v>7</v>
      </c>
      <c r="D11" s="40">
        <v>0.4</v>
      </c>
      <c r="E11" s="8">
        <v>0.5</v>
      </c>
      <c r="F11" s="8">
        <v>0</v>
      </c>
      <c r="G11" s="8">
        <v>0.65</v>
      </c>
      <c r="H11" s="9">
        <v>0</v>
      </c>
      <c r="I11" s="3"/>
      <c r="J11" s="63" t="str">
        <f t="shared" si="0"/>
        <v>PZ3</v>
      </c>
      <c r="K11" s="40">
        <v>2</v>
      </c>
      <c r="L11" s="8">
        <v>3</v>
      </c>
      <c r="M11" s="8">
        <v>0</v>
      </c>
      <c r="N11" s="8">
        <v>2.5</v>
      </c>
      <c r="O11" s="9">
        <v>0</v>
      </c>
      <c r="P11" s="1"/>
      <c r="Q11" s="1"/>
      <c r="R11" s="1"/>
      <c r="S11" s="1"/>
    </row>
    <row r="12" spans="2:19" ht="13.5">
      <c r="B12" s="7">
        <f t="shared" si="1"/>
        <v>4</v>
      </c>
      <c r="C12" s="55" t="s">
        <v>8</v>
      </c>
      <c r="D12" s="40">
        <v>0.4</v>
      </c>
      <c r="E12" s="8">
        <v>0</v>
      </c>
      <c r="F12" s="8">
        <v>1.25</v>
      </c>
      <c r="G12" s="8">
        <v>0.35</v>
      </c>
      <c r="H12" s="57">
        <v>0</v>
      </c>
      <c r="I12" s="3"/>
      <c r="J12" s="63" t="str">
        <f t="shared" si="0"/>
        <v>PZ4</v>
      </c>
      <c r="K12" s="40">
        <v>2</v>
      </c>
      <c r="L12" s="8">
        <v>0</v>
      </c>
      <c r="M12" s="8">
        <v>5.5</v>
      </c>
      <c r="N12" s="8">
        <v>3</v>
      </c>
      <c r="O12" s="9">
        <v>0</v>
      </c>
      <c r="P12" s="1"/>
      <c r="Q12" s="1"/>
      <c r="R12" s="1"/>
      <c r="S12" s="1"/>
    </row>
    <row r="13" spans="2:19" ht="13.5">
      <c r="B13" s="7">
        <f t="shared" si="1"/>
        <v>5</v>
      </c>
      <c r="C13" s="55" t="s">
        <v>9</v>
      </c>
      <c r="D13" s="40">
        <v>0.2</v>
      </c>
      <c r="E13" s="8">
        <v>0.2</v>
      </c>
      <c r="F13" s="8">
        <v>0</v>
      </c>
      <c r="G13" s="8">
        <v>0.15</v>
      </c>
      <c r="H13" s="9">
        <v>0.5</v>
      </c>
      <c r="I13" s="3"/>
      <c r="J13" s="63" t="str">
        <f t="shared" si="0"/>
        <v>DI1</v>
      </c>
      <c r="K13" s="40">
        <v>2</v>
      </c>
      <c r="L13" s="8">
        <v>1.5</v>
      </c>
      <c r="M13" s="8">
        <v>0</v>
      </c>
      <c r="N13" s="8">
        <v>2</v>
      </c>
      <c r="O13" s="9">
        <v>1</v>
      </c>
      <c r="P13" s="1"/>
      <c r="Q13" s="1"/>
      <c r="R13" s="1"/>
      <c r="S13" s="1"/>
    </row>
    <row r="14" spans="2:19" ht="13.5">
      <c r="B14" s="7">
        <f t="shared" si="1"/>
        <v>6</v>
      </c>
      <c r="C14" s="55" t="s">
        <v>10</v>
      </c>
      <c r="D14" s="40">
        <v>0.2</v>
      </c>
      <c r="E14" s="8">
        <v>0.4</v>
      </c>
      <c r="F14" s="8">
        <v>0</v>
      </c>
      <c r="G14" s="8">
        <v>0.14</v>
      </c>
      <c r="H14" s="9">
        <v>1</v>
      </c>
      <c r="I14" s="3"/>
      <c r="J14" s="63" t="str">
        <f t="shared" si="0"/>
        <v>DI2</v>
      </c>
      <c r="K14" s="40">
        <v>1.5</v>
      </c>
      <c r="L14" s="8">
        <v>1</v>
      </c>
      <c r="M14" s="8">
        <v>0</v>
      </c>
      <c r="N14" s="8">
        <v>3</v>
      </c>
      <c r="O14" s="9">
        <v>0.5</v>
      </c>
      <c r="P14" s="1"/>
      <c r="Q14" s="1"/>
      <c r="R14" s="1"/>
      <c r="S14" s="1"/>
    </row>
    <row r="15" spans="2:19" ht="13.5">
      <c r="B15" s="7">
        <f t="shared" si="1"/>
        <v>7</v>
      </c>
      <c r="C15" s="55" t="s">
        <v>11</v>
      </c>
      <c r="D15" s="40">
        <v>0.3</v>
      </c>
      <c r="E15" s="8">
        <v>0</v>
      </c>
      <c r="F15" s="8">
        <v>0</v>
      </c>
      <c r="G15" s="8">
        <v>0.17</v>
      </c>
      <c r="H15" s="9">
        <v>0.7</v>
      </c>
      <c r="I15" s="3"/>
      <c r="J15" s="63" t="str">
        <f t="shared" si="0"/>
        <v>DI3</v>
      </c>
      <c r="K15" s="40">
        <v>1.5</v>
      </c>
      <c r="L15" s="8">
        <v>0</v>
      </c>
      <c r="M15" s="8">
        <v>0</v>
      </c>
      <c r="N15" s="8">
        <v>2</v>
      </c>
      <c r="O15" s="9">
        <v>1</v>
      </c>
      <c r="P15" s="1"/>
      <c r="Q15" s="1"/>
      <c r="R15" s="1"/>
      <c r="S15" s="1"/>
    </row>
    <row r="16" spans="2:19" ht="13.5">
      <c r="B16" s="7">
        <f t="shared" si="1"/>
        <v>8</v>
      </c>
      <c r="C16" s="55" t="s">
        <v>12</v>
      </c>
      <c r="D16" s="40">
        <v>0</v>
      </c>
      <c r="E16" s="8">
        <v>1</v>
      </c>
      <c r="F16" s="8">
        <v>0</v>
      </c>
      <c r="G16" s="8">
        <v>0.25</v>
      </c>
      <c r="H16" s="9">
        <v>0.2</v>
      </c>
      <c r="I16" s="3"/>
      <c r="J16" s="63" t="str">
        <f t="shared" si="0"/>
        <v>DI4</v>
      </c>
      <c r="K16" s="40">
        <v>0</v>
      </c>
      <c r="L16" s="8">
        <v>2</v>
      </c>
      <c r="M16" s="8">
        <v>0</v>
      </c>
      <c r="N16" s="8">
        <v>2</v>
      </c>
      <c r="O16" s="9">
        <v>0.5</v>
      </c>
      <c r="P16" s="1"/>
      <c r="Q16" s="1"/>
      <c r="R16" s="1"/>
      <c r="S16" s="1"/>
    </row>
    <row r="17" spans="2:19" ht="13.5">
      <c r="B17" s="7">
        <f t="shared" si="1"/>
        <v>9</v>
      </c>
      <c r="C17" s="55" t="s">
        <v>13</v>
      </c>
      <c r="D17" s="40">
        <v>0.2</v>
      </c>
      <c r="E17" s="8">
        <v>0</v>
      </c>
      <c r="F17" s="8">
        <v>0</v>
      </c>
      <c r="G17" s="8">
        <v>0.2</v>
      </c>
      <c r="H17" s="9">
        <v>0</v>
      </c>
      <c r="I17" s="3"/>
      <c r="J17" s="63" t="str">
        <f t="shared" si="0"/>
        <v>DI5</v>
      </c>
      <c r="K17" s="40">
        <v>1</v>
      </c>
      <c r="L17" s="46">
        <v>0</v>
      </c>
      <c r="M17" s="8">
        <v>0</v>
      </c>
      <c r="N17" s="8">
        <v>3</v>
      </c>
      <c r="O17" s="9">
        <v>0</v>
      </c>
      <c r="P17" s="1"/>
      <c r="Q17" s="1"/>
      <c r="R17" s="1"/>
      <c r="S17" s="1"/>
    </row>
    <row r="18" spans="2:19" ht="13.5">
      <c r="B18" s="7">
        <f t="shared" si="1"/>
        <v>10</v>
      </c>
      <c r="C18" s="55" t="s">
        <v>14</v>
      </c>
      <c r="D18" s="40">
        <v>0</v>
      </c>
      <c r="E18" s="8">
        <v>0</v>
      </c>
      <c r="F18" s="8">
        <v>0.4</v>
      </c>
      <c r="G18" s="8">
        <v>0</v>
      </c>
      <c r="H18" s="9">
        <v>0.5</v>
      </c>
      <c r="I18" s="3"/>
      <c r="J18" s="63" t="str">
        <f t="shared" si="0"/>
        <v>RO1</v>
      </c>
      <c r="K18" s="40">
        <v>0</v>
      </c>
      <c r="L18" s="8">
        <v>0</v>
      </c>
      <c r="M18" s="8">
        <v>1</v>
      </c>
      <c r="N18" s="46">
        <v>0</v>
      </c>
      <c r="O18" s="9">
        <v>2.5</v>
      </c>
      <c r="P18" s="1"/>
      <c r="Q18" s="1"/>
      <c r="R18" s="1"/>
      <c r="S18" s="1"/>
    </row>
    <row r="19" spans="2:19" ht="13.5">
      <c r="B19" s="7">
        <f t="shared" si="1"/>
        <v>11</v>
      </c>
      <c r="C19" s="55" t="s">
        <v>15</v>
      </c>
      <c r="D19" s="40">
        <v>0</v>
      </c>
      <c r="E19" s="8">
        <v>0</v>
      </c>
      <c r="F19" s="8">
        <v>0.3</v>
      </c>
      <c r="G19" s="8">
        <v>0</v>
      </c>
      <c r="H19" s="9">
        <v>0.95</v>
      </c>
      <c r="I19" s="3"/>
      <c r="J19" s="63" t="str">
        <f t="shared" si="0"/>
        <v>RO2</v>
      </c>
      <c r="K19" s="40">
        <v>0</v>
      </c>
      <c r="L19" s="8">
        <v>0</v>
      </c>
      <c r="M19" s="8">
        <v>2</v>
      </c>
      <c r="N19" s="8">
        <v>0</v>
      </c>
      <c r="O19" s="9">
        <v>3</v>
      </c>
      <c r="P19" s="1"/>
      <c r="Q19" s="1"/>
      <c r="R19" s="1"/>
      <c r="S19" s="1"/>
    </row>
    <row r="20" spans="2:19" ht="13.5">
      <c r="B20" s="7">
        <f t="shared" si="1"/>
        <v>12</v>
      </c>
      <c r="C20" s="55" t="s">
        <v>16</v>
      </c>
      <c r="D20" s="40">
        <v>0</v>
      </c>
      <c r="E20" s="8">
        <v>0</v>
      </c>
      <c r="F20" s="8">
        <v>1</v>
      </c>
      <c r="G20" s="8">
        <v>0</v>
      </c>
      <c r="H20" s="9">
        <v>0.98</v>
      </c>
      <c r="I20" s="3"/>
      <c r="J20" s="63" t="str">
        <f t="shared" si="0"/>
        <v>RO3</v>
      </c>
      <c r="K20" s="40">
        <v>0</v>
      </c>
      <c r="L20" s="8">
        <v>0</v>
      </c>
      <c r="M20" s="8">
        <v>1</v>
      </c>
      <c r="N20" s="8">
        <v>0</v>
      </c>
      <c r="O20" s="9">
        <v>2.5</v>
      </c>
      <c r="P20" s="1"/>
      <c r="Q20" s="1"/>
      <c r="R20" s="1"/>
      <c r="S20" s="1"/>
    </row>
    <row r="21" spans="2:19" ht="13.5">
      <c r="B21" s="7">
        <f t="shared" si="1"/>
        <v>13</v>
      </c>
      <c r="C21" s="55" t="s">
        <v>17</v>
      </c>
      <c r="D21" s="40">
        <v>0</v>
      </c>
      <c r="E21" s="8">
        <v>0</v>
      </c>
      <c r="F21" s="8">
        <v>0.2</v>
      </c>
      <c r="G21" s="8">
        <v>0</v>
      </c>
      <c r="H21" s="9">
        <v>1.05</v>
      </c>
      <c r="I21" s="3"/>
      <c r="J21" s="63" t="str">
        <f t="shared" si="0"/>
        <v>RO4</v>
      </c>
      <c r="K21" s="40">
        <v>0</v>
      </c>
      <c r="L21" s="8">
        <v>0</v>
      </c>
      <c r="M21" s="8">
        <v>2.2</v>
      </c>
      <c r="N21" s="8">
        <v>0</v>
      </c>
      <c r="O21" s="9">
        <v>3</v>
      </c>
      <c r="P21" s="1"/>
      <c r="Q21" s="1"/>
      <c r="R21" s="1"/>
      <c r="S21" s="1"/>
    </row>
    <row r="22" spans="2:19" ht="13.5">
      <c r="B22" s="7">
        <f t="shared" si="1"/>
        <v>14</v>
      </c>
      <c r="C22" s="55" t="s">
        <v>18</v>
      </c>
      <c r="D22" s="40">
        <v>0</v>
      </c>
      <c r="E22" s="8">
        <v>0</v>
      </c>
      <c r="F22" s="8">
        <v>0.5</v>
      </c>
      <c r="G22" s="8">
        <v>0</v>
      </c>
      <c r="H22" s="9">
        <v>0.65</v>
      </c>
      <c r="I22" s="3"/>
      <c r="J22" s="63" t="str">
        <f t="shared" si="0"/>
        <v>RO5</v>
      </c>
      <c r="K22" s="40">
        <v>0</v>
      </c>
      <c r="L22" s="8">
        <v>0</v>
      </c>
      <c r="M22" s="46">
        <v>2</v>
      </c>
      <c r="N22" s="8">
        <v>0</v>
      </c>
      <c r="O22" s="57">
        <v>4</v>
      </c>
      <c r="P22" s="1"/>
      <c r="Q22" s="1"/>
      <c r="R22" s="1"/>
      <c r="S22" s="1"/>
    </row>
    <row r="23" spans="2:19" ht="13.5">
      <c r="B23" s="7">
        <f>B22+1</f>
        <v>15</v>
      </c>
      <c r="C23" s="55" t="s">
        <v>32</v>
      </c>
      <c r="D23" s="40">
        <v>0.5</v>
      </c>
      <c r="E23" s="8">
        <v>0.3</v>
      </c>
      <c r="F23" s="8">
        <v>0</v>
      </c>
      <c r="G23" s="8">
        <v>0</v>
      </c>
      <c r="H23" s="9">
        <v>1.2</v>
      </c>
      <c r="I23" s="3"/>
      <c r="J23" s="63" t="str">
        <f>C23</f>
        <v>SP1</v>
      </c>
      <c r="K23" s="8">
        <v>1.5</v>
      </c>
      <c r="L23" s="8">
        <v>0.5</v>
      </c>
      <c r="M23" s="8">
        <v>0</v>
      </c>
      <c r="N23" s="8">
        <v>0</v>
      </c>
      <c r="O23" s="9">
        <v>2</v>
      </c>
      <c r="P23" s="1"/>
      <c r="Q23" s="1"/>
      <c r="R23" s="1"/>
      <c r="S23" s="1"/>
    </row>
    <row r="24" spans="2:19" ht="13.5">
      <c r="B24" s="7">
        <f>B23+1</f>
        <v>16</v>
      </c>
      <c r="C24" s="55" t="s">
        <v>33</v>
      </c>
      <c r="D24" s="40">
        <v>0.45</v>
      </c>
      <c r="E24" s="8">
        <v>0.5</v>
      </c>
      <c r="F24" s="8">
        <v>0</v>
      </c>
      <c r="G24" s="8">
        <v>0</v>
      </c>
      <c r="H24" s="9">
        <v>0.8</v>
      </c>
      <c r="I24" s="3"/>
      <c r="J24" s="63" t="str">
        <f t="shared" si="0"/>
        <v>SP2</v>
      </c>
      <c r="K24" s="8">
        <v>1</v>
      </c>
      <c r="L24" s="8">
        <v>1</v>
      </c>
      <c r="M24" s="8">
        <v>0</v>
      </c>
      <c r="N24" s="8">
        <v>0</v>
      </c>
      <c r="O24" s="9">
        <v>1.5</v>
      </c>
      <c r="P24" s="1"/>
      <c r="Q24" s="1"/>
      <c r="R24" s="1"/>
      <c r="S24" s="1"/>
    </row>
    <row r="25" spans="2:19" ht="13.5">
      <c r="B25" s="7">
        <f>B24+1</f>
        <v>17</v>
      </c>
      <c r="C25" s="55" t="s">
        <v>34</v>
      </c>
      <c r="D25" s="40">
        <v>0.3</v>
      </c>
      <c r="E25" s="8">
        <v>0.2</v>
      </c>
      <c r="F25" s="8">
        <v>0</v>
      </c>
      <c r="G25" s="8">
        <v>0</v>
      </c>
      <c r="H25" s="9">
        <v>0.9</v>
      </c>
      <c r="I25" s="3"/>
      <c r="J25" s="63" t="str">
        <f t="shared" si="0"/>
        <v>SP3</v>
      </c>
      <c r="K25" s="8">
        <v>1.2</v>
      </c>
      <c r="L25" s="8">
        <v>1.5</v>
      </c>
      <c r="M25" s="8">
        <v>0</v>
      </c>
      <c r="N25" s="8">
        <v>0</v>
      </c>
      <c r="O25" s="9">
        <v>1</v>
      </c>
      <c r="P25" s="1"/>
      <c r="Q25" s="1"/>
      <c r="R25" s="1"/>
      <c r="S25" s="1"/>
    </row>
    <row r="26" spans="2:19" ht="14.25" thickBot="1">
      <c r="B26" s="7">
        <f>B25+1</f>
        <v>18</v>
      </c>
      <c r="C26" s="56" t="s">
        <v>35</v>
      </c>
      <c r="D26" s="62">
        <v>0.6</v>
      </c>
      <c r="E26" s="10">
        <v>0.8</v>
      </c>
      <c r="F26" s="10">
        <v>0</v>
      </c>
      <c r="G26" s="10">
        <v>0</v>
      </c>
      <c r="H26" s="11">
        <v>1.5</v>
      </c>
      <c r="I26" s="3"/>
      <c r="J26" s="64" t="str">
        <f t="shared" si="0"/>
        <v>SP4</v>
      </c>
      <c r="K26" s="10">
        <v>2</v>
      </c>
      <c r="L26" s="10">
        <v>2</v>
      </c>
      <c r="M26" s="10">
        <v>0</v>
      </c>
      <c r="N26" s="10">
        <v>0</v>
      </c>
      <c r="O26" s="11">
        <v>2</v>
      </c>
      <c r="P26" s="1"/>
      <c r="Q26" s="1"/>
      <c r="R26" s="1"/>
      <c r="S26" s="1"/>
    </row>
    <row r="27" spans="2:19" ht="14.25" thickBot="1">
      <c r="B27" s="1"/>
      <c r="C27" s="12"/>
      <c r="D27" s="3"/>
      <c r="E27" s="3"/>
      <c r="F27" s="3"/>
      <c r="G27" s="3"/>
      <c r="H27" s="13"/>
      <c r="I27" s="3"/>
      <c r="J27" s="3"/>
      <c r="K27" s="3"/>
      <c r="L27" s="3"/>
      <c r="M27" s="3"/>
      <c r="N27" s="3"/>
      <c r="O27" s="3"/>
      <c r="P27" s="1"/>
      <c r="Q27" s="1"/>
      <c r="R27" s="1"/>
      <c r="S27" s="1"/>
    </row>
    <row r="28" spans="2:19" ht="42">
      <c r="B28" s="3"/>
      <c r="C28" s="212" t="s">
        <v>36</v>
      </c>
      <c r="D28" s="213"/>
      <c r="E28" s="162" t="s">
        <v>41</v>
      </c>
      <c r="F28" s="69" t="s">
        <v>109</v>
      </c>
      <c r="G28" s="3"/>
      <c r="H28" s="13"/>
      <c r="I28" s="3"/>
      <c r="J28" s="93" t="s">
        <v>29</v>
      </c>
      <c r="K28" s="48">
        <v>220</v>
      </c>
      <c r="L28" s="132" t="s">
        <v>73</v>
      </c>
      <c r="M28" s="3"/>
      <c r="N28" s="3"/>
      <c r="O28" s="3"/>
      <c r="P28" s="1"/>
      <c r="Q28" s="1"/>
      <c r="R28" s="1"/>
      <c r="S28" s="1"/>
    </row>
    <row r="29" spans="2:19" ht="27.75">
      <c r="B29" s="3"/>
      <c r="C29" s="70" t="s">
        <v>37</v>
      </c>
      <c r="D29" s="51" t="s">
        <v>19</v>
      </c>
      <c r="E29" s="51">
        <v>2</v>
      </c>
      <c r="F29" s="133">
        <v>150000</v>
      </c>
      <c r="G29" s="3"/>
      <c r="H29" s="13"/>
      <c r="I29" s="3"/>
      <c r="J29" s="14" t="s">
        <v>30</v>
      </c>
      <c r="K29" s="15">
        <v>7.5</v>
      </c>
      <c r="L29" s="133" t="s">
        <v>74</v>
      </c>
      <c r="M29" s="8"/>
      <c r="O29" s="3"/>
      <c r="P29" s="1"/>
      <c r="Q29" s="1"/>
      <c r="R29" s="1"/>
      <c r="S29" s="1"/>
    </row>
    <row r="30" spans="2:19" ht="13.5">
      <c r="B30" s="3"/>
      <c r="C30" s="70" t="s">
        <v>134</v>
      </c>
      <c r="D30" s="51" t="s">
        <v>20</v>
      </c>
      <c r="E30" s="51">
        <v>5</v>
      </c>
      <c r="F30" s="133">
        <v>300000</v>
      </c>
      <c r="G30" s="3"/>
      <c r="H30" s="13"/>
      <c r="I30" s="3"/>
      <c r="J30" s="14" t="s">
        <v>104</v>
      </c>
      <c r="K30" s="68">
        <v>2</v>
      </c>
      <c r="L30" s="133" t="s">
        <v>105</v>
      </c>
      <c r="M30" s="8"/>
      <c r="N30" s="3"/>
      <c r="O30" s="3"/>
      <c r="P30" s="1"/>
      <c r="Q30" s="1"/>
      <c r="R30" s="1"/>
      <c r="S30" s="1"/>
    </row>
    <row r="31" spans="2:19" ht="13.5">
      <c r="B31" s="3"/>
      <c r="C31" s="70" t="s">
        <v>38</v>
      </c>
      <c r="D31" s="51" t="s">
        <v>21</v>
      </c>
      <c r="E31" s="51">
        <v>8</v>
      </c>
      <c r="F31" s="133">
        <v>200000</v>
      </c>
      <c r="G31" s="3"/>
      <c r="H31" s="13"/>
      <c r="I31" s="3"/>
      <c r="J31" s="14" t="s">
        <v>72</v>
      </c>
      <c r="K31" s="50">
        <v>13.5</v>
      </c>
      <c r="L31" s="133" t="s">
        <v>75</v>
      </c>
      <c r="M31" s="8"/>
      <c r="N31" s="1"/>
      <c r="O31" s="1"/>
      <c r="P31" s="1"/>
      <c r="Q31" s="1"/>
      <c r="R31" s="1"/>
      <c r="S31" s="1"/>
    </row>
    <row r="32" spans="2:19" ht="13.5">
      <c r="B32" s="3"/>
      <c r="C32" s="70" t="s">
        <v>39</v>
      </c>
      <c r="D32" s="51" t="s">
        <v>22</v>
      </c>
      <c r="E32" s="51">
        <v>2</v>
      </c>
      <c r="F32" s="133">
        <v>250000</v>
      </c>
      <c r="G32" s="3"/>
      <c r="H32" s="13"/>
      <c r="I32" s="3"/>
      <c r="J32" s="14" t="s">
        <v>76</v>
      </c>
      <c r="K32" s="15">
        <v>14.5</v>
      </c>
      <c r="L32" s="133" t="s">
        <v>75</v>
      </c>
      <c r="M32" s="8"/>
      <c r="N32" s="8"/>
      <c r="O32" s="8"/>
      <c r="P32" s="1"/>
      <c r="Q32" s="1"/>
      <c r="R32" s="1"/>
      <c r="S32" s="1"/>
    </row>
    <row r="33" spans="2:19" ht="14.25" thickBot="1">
      <c r="B33" s="3"/>
      <c r="C33" s="71" t="s">
        <v>40</v>
      </c>
      <c r="D33" s="72" t="s">
        <v>23</v>
      </c>
      <c r="E33" s="72">
        <v>12</v>
      </c>
      <c r="F33" s="134">
        <v>250000</v>
      </c>
      <c r="G33" s="3"/>
      <c r="H33" s="13"/>
      <c r="I33" s="3"/>
      <c r="J33" s="14" t="s">
        <v>77</v>
      </c>
      <c r="K33" s="15">
        <v>15.5</v>
      </c>
      <c r="L33" s="133" t="s">
        <v>75</v>
      </c>
      <c r="M33" s="8"/>
      <c r="N33" s="8"/>
      <c r="O33" s="8"/>
      <c r="P33" s="8"/>
      <c r="Q33" s="8"/>
      <c r="R33" s="1"/>
      <c r="S33" s="1"/>
    </row>
    <row r="34" spans="2:19" ht="14.25" thickBot="1">
      <c r="B34" s="3"/>
      <c r="C34" s="12"/>
      <c r="D34" s="3"/>
      <c r="E34" s="3"/>
      <c r="F34" s="3"/>
      <c r="G34" s="3"/>
      <c r="H34" s="13"/>
      <c r="I34" s="3"/>
      <c r="J34" s="17" t="s">
        <v>88</v>
      </c>
      <c r="K34" s="18">
        <v>21</v>
      </c>
      <c r="L34" s="134" t="s">
        <v>75</v>
      </c>
      <c r="M34" s="8"/>
      <c r="N34" s="8"/>
      <c r="O34" s="8"/>
      <c r="P34" s="8"/>
      <c r="Q34" s="8"/>
      <c r="R34" s="1"/>
      <c r="S34" s="1"/>
    </row>
    <row r="35" spans="2:19" ht="14.25" thickBot="1">
      <c r="B35" s="3"/>
      <c r="C35" s="86" t="s">
        <v>42</v>
      </c>
      <c r="D35" s="79" t="s">
        <v>19</v>
      </c>
      <c r="E35" s="80" t="s">
        <v>20</v>
      </c>
      <c r="F35" s="80" t="s">
        <v>21</v>
      </c>
      <c r="G35" s="80" t="s">
        <v>22</v>
      </c>
      <c r="H35" s="81" t="s">
        <v>23</v>
      </c>
      <c r="I35" s="3"/>
      <c r="J35" s="19"/>
      <c r="K35" s="8"/>
      <c r="L35" s="1"/>
      <c r="M35" s="8"/>
      <c r="N35" s="8"/>
      <c r="O35" s="8"/>
      <c r="P35" s="8"/>
      <c r="Q35" s="8"/>
      <c r="R35" s="1"/>
      <c r="S35" s="1"/>
    </row>
    <row r="36" spans="2:19" ht="13.5">
      <c r="B36" s="3"/>
      <c r="C36" s="90" t="s">
        <v>131</v>
      </c>
      <c r="D36" s="91">
        <v>0.04</v>
      </c>
      <c r="E36" s="91">
        <v>0.04</v>
      </c>
      <c r="F36" s="91">
        <v>0.04</v>
      </c>
      <c r="G36" s="91">
        <v>0.04</v>
      </c>
      <c r="H36" s="91">
        <v>0.04</v>
      </c>
      <c r="I36" s="3"/>
      <c r="J36" s="217" t="s">
        <v>99</v>
      </c>
      <c r="K36" s="218"/>
      <c r="L36" s="1"/>
      <c r="M36" s="8"/>
      <c r="N36" s="8"/>
      <c r="O36" s="8"/>
      <c r="P36" s="8"/>
      <c r="Q36" s="8"/>
      <c r="R36" s="1"/>
      <c r="S36" s="1"/>
    </row>
    <row r="37" spans="2:19" ht="13.5">
      <c r="B37" s="1"/>
      <c r="C37" s="77" t="s">
        <v>43</v>
      </c>
      <c r="D37" s="50">
        <v>0.05</v>
      </c>
      <c r="E37" s="50">
        <v>0.05</v>
      </c>
      <c r="F37" s="50">
        <v>0.05</v>
      </c>
      <c r="G37" s="50">
        <v>0.05</v>
      </c>
      <c r="H37" s="82">
        <v>0.05</v>
      </c>
      <c r="I37" s="3"/>
      <c r="J37" s="144">
        <v>2</v>
      </c>
      <c r="K37" s="187" t="s">
        <v>58</v>
      </c>
      <c r="L37" s="1"/>
      <c r="M37" s="8"/>
      <c r="N37" s="8"/>
      <c r="O37" s="8"/>
      <c r="P37" s="8"/>
      <c r="Q37" s="8"/>
      <c r="R37" s="1"/>
      <c r="S37" s="1"/>
    </row>
    <row r="38" spans="2:19" ht="14.25" thickBot="1">
      <c r="B38" s="1"/>
      <c r="C38" s="78" t="s">
        <v>44</v>
      </c>
      <c r="D38" s="50">
        <v>0.95</v>
      </c>
      <c r="E38" s="50">
        <v>0.95</v>
      </c>
      <c r="F38" s="50">
        <v>0.95</v>
      </c>
      <c r="G38" s="50">
        <v>0.95</v>
      </c>
      <c r="H38" s="82">
        <v>0.95</v>
      </c>
      <c r="I38" s="3"/>
      <c r="J38" s="188">
        <v>8</v>
      </c>
      <c r="K38" s="189" t="s">
        <v>59</v>
      </c>
      <c r="L38" s="8"/>
      <c r="M38" s="8"/>
      <c r="N38" s="8"/>
      <c r="O38" s="8"/>
      <c r="P38" s="8"/>
      <c r="Q38" s="8"/>
      <c r="R38" s="1"/>
      <c r="S38" s="1"/>
    </row>
    <row r="39" spans="2:17" ht="13.5">
      <c r="B39" s="1"/>
      <c r="C39" s="78" t="s">
        <v>45</v>
      </c>
      <c r="D39" s="50">
        <v>0.94</v>
      </c>
      <c r="E39" s="50">
        <v>0.94</v>
      </c>
      <c r="F39" s="50">
        <v>0.94</v>
      </c>
      <c r="G39" s="50">
        <v>0.94</v>
      </c>
      <c r="H39" s="82">
        <v>0.94</v>
      </c>
      <c r="I39" s="3"/>
      <c r="J39" s="1"/>
      <c r="K39" s="8"/>
      <c r="L39" s="8"/>
      <c r="M39" s="8"/>
      <c r="N39" s="8"/>
      <c r="O39" s="8"/>
      <c r="P39" s="1"/>
      <c r="Q39" s="1"/>
    </row>
    <row r="40" spans="2:17" ht="14.25" thickBot="1">
      <c r="B40" s="1"/>
      <c r="C40" s="83" t="s">
        <v>46</v>
      </c>
      <c r="D40" s="84">
        <v>0.8</v>
      </c>
      <c r="E40" s="84">
        <v>0.8</v>
      </c>
      <c r="F40" s="84">
        <v>0.8</v>
      </c>
      <c r="G40" s="84">
        <v>0.8</v>
      </c>
      <c r="H40" s="85">
        <v>0.8</v>
      </c>
      <c r="I40" s="3"/>
      <c r="J40" s="1"/>
      <c r="K40" s="8"/>
      <c r="L40" s="8"/>
      <c r="M40" s="8"/>
      <c r="N40" s="8"/>
      <c r="O40" s="8"/>
      <c r="P40" s="1"/>
      <c r="Q40" s="1"/>
    </row>
    <row r="41" spans="2:17" ht="13.5">
      <c r="B41" s="1"/>
      <c r="C41" s="20"/>
      <c r="D41" s="8"/>
      <c r="E41" s="8"/>
      <c r="F41" s="8"/>
      <c r="G41" s="21"/>
      <c r="H41" s="22"/>
      <c r="I41" s="3"/>
      <c r="J41" s="1"/>
      <c r="K41" s="8"/>
      <c r="L41" s="8"/>
      <c r="M41" s="8"/>
      <c r="N41" s="8"/>
      <c r="O41" s="8"/>
      <c r="P41" s="1"/>
      <c r="Q41" s="1"/>
    </row>
    <row r="42" spans="2:17" ht="14.25" thickBot="1">
      <c r="B42" s="1"/>
      <c r="C42" s="30" t="s">
        <v>26</v>
      </c>
      <c r="D42" s="3"/>
      <c r="E42" s="3"/>
      <c r="F42" s="3"/>
      <c r="G42" s="203" t="s">
        <v>132</v>
      </c>
      <c r="H42" s="204"/>
      <c r="I42" s="3"/>
      <c r="J42" s="1"/>
      <c r="K42" s="8"/>
      <c r="L42" s="8"/>
      <c r="M42" s="8"/>
      <c r="N42" s="8"/>
      <c r="O42" s="8"/>
      <c r="P42" s="1"/>
      <c r="Q42" s="1"/>
    </row>
    <row r="43" spans="2:17" ht="27.75">
      <c r="B43" s="1"/>
      <c r="C43" s="23" t="s">
        <v>27</v>
      </c>
      <c r="D43" s="24" t="s">
        <v>100</v>
      </c>
      <c r="E43" s="25"/>
      <c r="F43" s="3"/>
      <c r="G43" s="74" t="s">
        <v>27</v>
      </c>
      <c r="H43" s="24" t="s">
        <v>101</v>
      </c>
      <c r="I43" s="3"/>
      <c r="J43" s="1"/>
      <c r="K43" s="8"/>
      <c r="L43" s="8"/>
      <c r="M43" s="8"/>
      <c r="N43" s="8"/>
      <c r="O43" s="8"/>
      <c r="P43" s="1"/>
      <c r="Q43" s="1"/>
    </row>
    <row r="44" spans="2:17" ht="13.5">
      <c r="B44" s="1"/>
      <c r="C44" s="26" t="str">
        <f>C9</f>
        <v>PZ1</v>
      </c>
      <c r="D44" s="27">
        <v>500</v>
      </c>
      <c r="E44" s="28"/>
      <c r="F44" s="3"/>
      <c r="G44" s="26" t="str">
        <f>C44</f>
        <v>PZ1</v>
      </c>
      <c r="H44" s="75">
        <v>10</v>
      </c>
      <c r="I44" s="3"/>
      <c r="J44" s="1"/>
      <c r="K44" s="8"/>
      <c r="L44" s="8"/>
      <c r="M44" s="8"/>
      <c r="N44" s="8"/>
      <c r="O44" s="8"/>
      <c r="P44" s="1"/>
      <c r="Q44" s="1"/>
    </row>
    <row r="45" spans="2:17" ht="13.5">
      <c r="B45" s="1"/>
      <c r="C45" s="26" t="str">
        <f aca="true" t="shared" si="2" ref="C45:C61">C10</f>
        <v>PZ2</v>
      </c>
      <c r="D45" s="27">
        <v>500</v>
      </c>
      <c r="E45" s="28"/>
      <c r="F45" s="3"/>
      <c r="G45" s="26" t="str">
        <f aca="true" t="shared" si="3" ref="G45:G61">C45</f>
        <v>PZ2</v>
      </c>
      <c r="H45" s="75">
        <v>12</v>
      </c>
      <c r="I45" s="3"/>
      <c r="J45" s="1"/>
      <c r="K45" s="8"/>
      <c r="L45" s="8"/>
      <c r="M45" s="8"/>
      <c r="N45" s="8"/>
      <c r="O45" s="8"/>
      <c r="P45" s="1"/>
      <c r="Q45" s="1"/>
    </row>
    <row r="46" spans="2:17" ht="13.5">
      <c r="B46" s="1"/>
      <c r="C46" s="26" t="str">
        <f t="shared" si="2"/>
        <v>PZ3</v>
      </c>
      <c r="D46" s="27">
        <v>500</v>
      </c>
      <c r="E46" s="28"/>
      <c r="F46" s="3"/>
      <c r="G46" s="26" t="str">
        <f t="shared" si="3"/>
        <v>PZ3</v>
      </c>
      <c r="H46" s="75">
        <v>18</v>
      </c>
      <c r="I46" s="3"/>
      <c r="J46" s="1"/>
      <c r="K46" s="8"/>
      <c r="L46" s="8"/>
      <c r="M46" s="8"/>
      <c r="N46" s="8"/>
      <c r="O46" s="8"/>
      <c r="P46" s="1"/>
      <c r="Q46" s="1"/>
    </row>
    <row r="47" spans="2:17" ht="13.5">
      <c r="B47" s="1"/>
      <c r="C47" s="26" t="str">
        <f t="shared" si="2"/>
        <v>PZ4</v>
      </c>
      <c r="D47" s="27">
        <v>500</v>
      </c>
      <c r="E47" s="28"/>
      <c r="F47" s="3"/>
      <c r="G47" s="26" t="str">
        <f t="shared" si="3"/>
        <v>PZ4</v>
      </c>
      <c r="H47" s="75">
        <v>9</v>
      </c>
      <c r="I47" s="3"/>
      <c r="J47" s="1"/>
      <c r="K47" s="8"/>
      <c r="L47" s="8"/>
      <c r="M47" s="8"/>
      <c r="N47" s="8"/>
      <c r="O47" s="8"/>
      <c r="P47" s="1"/>
      <c r="Q47" s="1"/>
    </row>
    <row r="48" spans="2:17" ht="13.5">
      <c r="B48" s="1"/>
      <c r="C48" s="26" t="str">
        <f t="shared" si="2"/>
        <v>DI1</v>
      </c>
      <c r="D48" s="27">
        <v>2500</v>
      </c>
      <c r="E48" s="28"/>
      <c r="F48" s="3"/>
      <c r="G48" s="26" t="str">
        <f t="shared" si="3"/>
        <v>DI1</v>
      </c>
      <c r="H48" s="75">
        <v>40</v>
      </c>
      <c r="I48" s="3"/>
      <c r="J48" s="1"/>
      <c r="K48" s="8"/>
      <c r="L48" s="8"/>
      <c r="M48" s="8"/>
      <c r="N48" s="8"/>
      <c r="O48" s="8"/>
      <c r="P48" s="1"/>
      <c r="Q48" s="1"/>
    </row>
    <row r="49" spans="2:17" ht="13.5">
      <c r="B49" s="1"/>
      <c r="C49" s="26" t="str">
        <f t="shared" si="2"/>
        <v>DI2</v>
      </c>
      <c r="D49" s="27">
        <v>3400</v>
      </c>
      <c r="E49" s="28"/>
      <c r="F49" s="3"/>
      <c r="G49" s="26" t="str">
        <f t="shared" si="3"/>
        <v>DI2</v>
      </c>
      <c r="H49" s="75">
        <v>40</v>
      </c>
      <c r="I49" s="3"/>
      <c r="J49" s="1"/>
      <c r="K49" s="8"/>
      <c r="L49" s="8"/>
      <c r="M49" s="8"/>
      <c r="N49" s="8"/>
      <c r="O49" s="8"/>
      <c r="P49" s="1"/>
      <c r="Q49" s="1"/>
    </row>
    <row r="50" spans="2:17" ht="13.5">
      <c r="B50" s="1"/>
      <c r="C50" s="26" t="str">
        <f t="shared" si="2"/>
        <v>DI3</v>
      </c>
      <c r="D50" s="27">
        <v>6250</v>
      </c>
      <c r="E50" s="28"/>
      <c r="F50" s="3"/>
      <c r="G50" s="26" t="str">
        <f t="shared" si="3"/>
        <v>DI3</v>
      </c>
      <c r="H50" s="75">
        <v>30</v>
      </c>
      <c r="I50" s="3"/>
      <c r="J50" s="1"/>
      <c r="K50" s="8"/>
      <c r="L50" s="1"/>
      <c r="M50" s="1"/>
      <c r="N50" s="1"/>
      <c r="O50" s="1"/>
      <c r="P50" s="1"/>
      <c r="Q50" s="1"/>
    </row>
    <row r="51" spans="2:17" ht="13.5">
      <c r="B51" s="1"/>
      <c r="C51" s="26" t="str">
        <f t="shared" si="2"/>
        <v>DI4</v>
      </c>
      <c r="D51" s="27">
        <v>5000</v>
      </c>
      <c r="E51" s="28"/>
      <c r="F51" s="3"/>
      <c r="G51" s="26" t="str">
        <f t="shared" si="3"/>
        <v>DI4</v>
      </c>
      <c r="H51" s="75">
        <v>25</v>
      </c>
      <c r="I51" s="3"/>
      <c r="J51" s="1"/>
      <c r="K51" s="1"/>
      <c r="L51" s="1"/>
      <c r="M51" s="1"/>
      <c r="N51" s="1"/>
      <c r="O51" s="1"/>
      <c r="P51" s="1"/>
      <c r="Q51" s="1"/>
    </row>
    <row r="52" spans="2:17" ht="13.5">
      <c r="B52" s="1"/>
      <c r="C52" s="26" t="str">
        <f t="shared" si="2"/>
        <v>DI5</v>
      </c>
      <c r="D52" s="27">
        <v>500</v>
      </c>
      <c r="E52" s="28"/>
      <c r="F52" s="3"/>
      <c r="G52" s="26" t="str">
        <f t="shared" si="3"/>
        <v>DI5</v>
      </c>
      <c r="H52" s="75">
        <v>15</v>
      </c>
      <c r="I52" s="3"/>
      <c r="J52" s="1"/>
      <c r="K52" s="1"/>
      <c r="L52" s="1"/>
      <c r="M52" s="1"/>
      <c r="N52" s="1"/>
      <c r="O52" s="1"/>
      <c r="P52" s="1"/>
      <c r="Q52" s="1"/>
    </row>
    <row r="53" spans="2:17" ht="13.5">
      <c r="B53" s="1"/>
      <c r="C53" s="26" t="str">
        <f t="shared" si="2"/>
        <v>RO1</v>
      </c>
      <c r="D53" s="27">
        <v>8000</v>
      </c>
      <c r="E53" s="28"/>
      <c r="F53" s="3"/>
      <c r="G53" s="26" t="str">
        <f t="shared" si="3"/>
        <v>RO1</v>
      </c>
      <c r="H53" s="75">
        <v>30</v>
      </c>
      <c r="I53" s="3"/>
      <c r="J53" s="1"/>
      <c r="K53" s="1"/>
      <c r="L53" s="1"/>
      <c r="M53" s="1"/>
      <c r="N53" s="1"/>
      <c r="O53" s="1"/>
      <c r="P53" s="1"/>
      <c r="Q53" s="1"/>
    </row>
    <row r="54" spans="2:17" ht="13.5">
      <c r="B54" s="1"/>
      <c r="C54" s="26" t="str">
        <f t="shared" si="2"/>
        <v>RO2</v>
      </c>
      <c r="D54" s="27">
        <v>500</v>
      </c>
      <c r="E54" s="28"/>
      <c r="F54" s="3"/>
      <c r="G54" s="26" t="str">
        <f t="shared" si="3"/>
        <v>RO2</v>
      </c>
      <c r="H54" s="75">
        <v>5</v>
      </c>
      <c r="I54" s="3"/>
      <c r="J54" s="1"/>
      <c r="K54" s="1"/>
      <c r="L54" s="1"/>
      <c r="M54" s="1"/>
      <c r="N54" s="1"/>
      <c r="O54" s="1"/>
      <c r="P54" s="1"/>
      <c r="Q54" s="1"/>
    </row>
    <row r="55" spans="2:17" ht="13.5">
      <c r="B55" s="3"/>
      <c r="C55" s="26" t="str">
        <f t="shared" si="2"/>
        <v>RO3</v>
      </c>
      <c r="D55" s="27">
        <v>6500</v>
      </c>
      <c r="E55" s="28"/>
      <c r="F55" s="3"/>
      <c r="G55" s="26" t="str">
        <f t="shared" si="3"/>
        <v>RO3</v>
      </c>
      <c r="H55" s="75">
        <v>20</v>
      </c>
      <c r="I55" s="3"/>
      <c r="J55" s="1"/>
      <c r="K55" s="1"/>
      <c r="L55" s="1"/>
      <c r="M55" s="1"/>
      <c r="N55" s="1"/>
      <c r="O55" s="1"/>
      <c r="P55" s="1"/>
      <c r="Q55" s="1"/>
    </row>
    <row r="56" spans="2:19" ht="13.5">
      <c r="B56" s="3"/>
      <c r="C56" s="26" t="str">
        <f t="shared" si="2"/>
        <v>RO4</v>
      </c>
      <c r="D56" s="27">
        <v>500</v>
      </c>
      <c r="E56" s="28"/>
      <c r="F56" s="3"/>
      <c r="G56" s="26" t="str">
        <f t="shared" si="3"/>
        <v>RO4</v>
      </c>
      <c r="H56" s="75">
        <v>10</v>
      </c>
      <c r="I56" s="3"/>
      <c r="J56" s="3"/>
      <c r="K56" s="1"/>
      <c r="L56" s="1"/>
      <c r="M56" s="1"/>
      <c r="N56" s="1"/>
      <c r="O56" s="1"/>
      <c r="P56" s="1"/>
      <c r="Q56" s="1"/>
      <c r="R56" s="1"/>
      <c r="S56" s="1"/>
    </row>
    <row r="57" spans="2:19" ht="13.5">
      <c r="B57" s="1"/>
      <c r="C57" s="26" t="str">
        <f t="shared" si="2"/>
        <v>RO5</v>
      </c>
      <c r="D57" s="27">
        <v>10000</v>
      </c>
      <c r="E57" s="28"/>
      <c r="F57" s="3"/>
      <c r="G57" s="26" t="str">
        <f t="shared" si="3"/>
        <v>RO5</v>
      </c>
      <c r="H57" s="75">
        <v>50</v>
      </c>
      <c r="I57" s="3"/>
      <c r="J57" s="3"/>
      <c r="K57" s="1"/>
      <c r="L57" s="1"/>
      <c r="M57" s="1"/>
      <c r="N57" s="1"/>
      <c r="O57" s="1"/>
      <c r="P57" s="1"/>
      <c r="Q57" s="1"/>
      <c r="R57" s="1"/>
      <c r="S57" s="1"/>
    </row>
    <row r="58" spans="2:11" ht="13.5">
      <c r="B58" s="1"/>
      <c r="C58" s="26" t="str">
        <f t="shared" si="2"/>
        <v>SP1</v>
      </c>
      <c r="D58" s="27">
        <v>5000</v>
      </c>
      <c r="E58" s="28"/>
      <c r="F58" s="3"/>
      <c r="G58" s="26" t="str">
        <f t="shared" si="3"/>
        <v>SP1</v>
      </c>
      <c r="H58" s="75">
        <v>25</v>
      </c>
      <c r="I58" s="3"/>
      <c r="J58" s="1"/>
      <c r="K58" s="1"/>
    </row>
    <row r="59" spans="2:11" ht="13.5">
      <c r="B59" s="1"/>
      <c r="C59" s="26" t="str">
        <f t="shared" si="2"/>
        <v>SP2</v>
      </c>
      <c r="D59" s="27">
        <v>7000</v>
      </c>
      <c r="E59" s="28"/>
      <c r="F59" s="3"/>
      <c r="G59" s="26" t="str">
        <f t="shared" si="3"/>
        <v>SP2</v>
      </c>
      <c r="H59" s="75">
        <v>35</v>
      </c>
      <c r="I59" s="3"/>
      <c r="J59" s="1"/>
      <c r="K59" s="1"/>
    </row>
    <row r="60" spans="2:11" ht="13.5">
      <c r="B60" s="1"/>
      <c r="C60" s="26" t="str">
        <f t="shared" si="2"/>
        <v>SP3</v>
      </c>
      <c r="D60" s="27">
        <v>2600</v>
      </c>
      <c r="E60" s="28"/>
      <c r="F60" s="3"/>
      <c r="G60" s="26" t="str">
        <f t="shared" si="3"/>
        <v>SP3</v>
      </c>
      <c r="H60" s="75">
        <v>13</v>
      </c>
      <c r="I60" s="3"/>
      <c r="J60" s="1"/>
      <c r="K60" s="1"/>
    </row>
    <row r="61" spans="2:11" ht="14.25" thickBot="1">
      <c r="B61" s="1"/>
      <c r="C61" s="73" t="str">
        <f t="shared" si="2"/>
        <v>SP4</v>
      </c>
      <c r="D61" s="29">
        <v>2000</v>
      </c>
      <c r="E61" s="28"/>
      <c r="F61" s="3"/>
      <c r="G61" s="73" t="str">
        <f t="shared" si="3"/>
        <v>SP4</v>
      </c>
      <c r="H61" s="76">
        <v>20</v>
      </c>
      <c r="I61" s="3"/>
      <c r="J61" s="1"/>
      <c r="K61" s="1"/>
    </row>
    <row r="62" spans="2:11" ht="13.5">
      <c r="B62" s="1"/>
      <c r="C62" s="31"/>
      <c r="D62" s="3"/>
      <c r="E62" s="3"/>
      <c r="F62" s="3"/>
      <c r="G62" s="3"/>
      <c r="H62" s="3"/>
      <c r="I62" s="3"/>
      <c r="J62" s="1"/>
      <c r="K62" s="1"/>
    </row>
    <row r="63" spans="2:11" ht="14.25" thickBot="1">
      <c r="B63" s="1"/>
      <c r="C63" s="31"/>
      <c r="D63" s="3"/>
      <c r="E63" s="3"/>
      <c r="F63" s="3"/>
      <c r="G63" s="3"/>
      <c r="H63" s="3"/>
      <c r="I63" s="3"/>
      <c r="J63" s="1"/>
      <c r="K63" s="1"/>
    </row>
    <row r="64" spans="2:15" ht="25.5" thickBot="1">
      <c r="B64" s="208" t="s">
        <v>118</v>
      </c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10"/>
    </row>
    <row r="65" spans="2:11" ht="15" thickBot="1">
      <c r="B65" s="1"/>
      <c r="C65" s="2"/>
      <c r="D65" s="1"/>
      <c r="E65" s="32"/>
      <c r="F65" s="1"/>
      <c r="G65" s="1"/>
      <c r="H65" s="3"/>
      <c r="I65" s="3"/>
      <c r="J65" s="1"/>
      <c r="K65" s="1"/>
    </row>
    <row r="66" spans="1:11" ht="14.25" thickBot="1">
      <c r="A66" s="99" t="s">
        <v>52</v>
      </c>
      <c r="B66" s="1"/>
      <c r="C66" s="2"/>
      <c r="D66" s="1"/>
      <c r="E66" s="1"/>
      <c r="F66" s="1"/>
      <c r="G66" s="1"/>
      <c r="H66" s="3"/>
      <c r="I66" s="3"/>
      <c r="J66" s="1"/>
      <c r="K66" s="1"/>
    </row>
    <row r="67" spans="2:17" ht="14.25" thickBot="1">
      <c r="B67" s="1"/>
      <c r="C67" s="214" t="s">
        <v>47</v>
      </c>
      <c r="D67" s="215"/>
      <c r="E67" s="215"/>
      <c r="F67" s="215"/>
      <c r="G67" s="215"/>
      <c r="H67" s="215"/>
      <c r="I67" s="216"/>
      <c r="J67" s="1"/>
      <c r="K67" s="222" t="s">
        <v>103</v>
      </c>
      <c r="L67" s="223"/>
      <c r="M67" s="223"/>
      <c r="N67" s="223"/>
      <c r="O67" s="223"/>
      <c r="P67" s="223"/>
      <c r="Q67" s="224"/>
    </row>
    <row r="68" spans="2:17" ht="55.5">
      <c r="B68" s="1"/>
      <c r="C68" s="33"/>
      <c r="D68" s="87" t="s">
        <v>102</v>
      </c>
      <c r="E68" s="87" t="s">
        <v>130</v>
      </c>
      <c r="F68" s="87" t="s">
        <v>133</v>
      </c>
      <c r="G68" s="87" t="s">
        <v>48</v>
      </c>
      <c r="H68" s="87" t="s">
        <v>49</v>
      </c>
      <c r="I68" s="89" t="s">
        <v>50</v>
      </c>
      <c r="J68" s="1"/>
      <c r="K68" s="33"/>
      <c r="L68" s="87" t="s">
        <v>102</v>
      </c>
      <c r="M68" s="87" t="s">
        <v>130</v>
      </c>
      <c r="N68" s="87" t="s">
        <v>133</v>
      </c>
      <c r="O68" s="87" t="s">
        <v>48</v>
      </c>
      <c r="P68" s="87" t="s">
        <v>49</v>
      </c>
      <c r="Q68" s="89" t="s">
        <v>50</v>
      </c>
    </row>
    <row r="69" spans="2:17" ht="13.5">
      <c r="B69" s="1"/>
      <c r="C69" s="34" t="str">
        <f aca="true" t="shared" si="4" ref="C69:D86">C44</f>
        <v>PZ1</v>
      </c>
      <c r="D69" s="145">
        <f t="shared" si="4"/>
        <v>500</v>
      </c>
      <c r="E69" s="147">
        <f aca="true" t="shared" si="5" ref="E69:E86">D9</f>
        <v>0.55</v>
      </c>
      <c r="F69" s="145">
        <f>D69*E69</f>
        <v>275</v>
      </c>
      <c r="G69" s="145">
        <f aca="true" t="shared" si="6" ref="G69:G86">H44</f>
        <v>10</v>
      </c>
      <c r="H69" s="35">
        <f aca="true" t="shared" si="7" ref="H69:H86">K9</f>
        <v>3</v>
      </c>
      <c r="I69" s="146">
        <f>G69*H69</f>
        <v>30</v>
      </c>
      <c r="J69" s="1"/>
      <c r="K69" s="34" t="str">
        <f aca="true" t="shared" si="8" ref="K69:K86">C69</f>
        <v>PZ1</v>
      </c>
      <c r="L69" s="145">
        <f aca="true" t="shared" si="9" ref="L69:L86">D44</f>
        <v>500</v>
      </c>
      <c r="M69" s="147">
        <f aca="true" t="shared" si="10" ref="M69:M86">H9</f>
        <v>0</v>
      </c>
      <c r="N69" s="145">
        <f>L69*M69</f>
        <v>0</v>
      </c>
      <c r="O69" s="145">
        <f aca="true" t="shared" si="11" ref="O69:O86">H44</f>
        <v>10</v>
      </c>
      <c r="P69" s="35">
        <f aca="true" t="shared" si="12" ref="P69:P86">O9</f>
        <v>0</v>
      </c>
      <c r="Q69" s="146">
        <f>O69*P69</f>
        <v>0</v>
      </c>
    </row>
    <row r="70" spans="2:17" ht="13.5">
      <c r="B70" s="1"/>
      <c r="C70" s="34" t="str">
        <f t="shared" si="4"/>
        <v>PZ2</v>
      </c>
      <c r="D70" s="145">
        <f t="shared" si="4"/>
        <v>500</v>
      </c>
      <c r="E70" s="147">
        <f t="shared" si="5"/>
        <v>0.25</v>
      </c>
      <c r="F70" s="145">
        <f aca="true" t="shared" si="13" ref="F70:F86">D70*E70</f>
        <v>125</v>
      </c>
      <c r="G70" s="145">
        <f t="shared" si="6"/>
        <v>12</v>
      </c>
      <c r="H70" s="35">
        <f t="shared" si="7"/>
        <v>1.5</v>
      </c>
      <c r="I70" s="146">
        <f aca="true" t="shared" si="14" ref="I70:I86">G70*H70</f>
        <v>18</v>
      </c>
      <c r="J70" s="1"/>
      <c r="K70" s="34" t="str">
        <f t="shared" si="8"/>
        <v>PZ2</v>
      </c>
      <c r="L70" s="145">
        <f t="shared" si="9"/>
        <v>500</v>
      </c>
      <c r="M70" s="147">
        <f t="shared" si="10"/>
        <v>0</v>
      </c>
      <c r="N70" s="145">
        <f aca="true" t="shared" si="15" ref="N70:N86">L70*M70</f>
        <v>0</v>
      </c>
      <c r="O70" s="145">
        <f t="shared" si="11"/>
        <v>12</v>
      </c>
      <c r="P70" s="35">
        <f t="shared" si="12"/>
        <v>0</v>
      </c>
      <c r="Q70" s="146">
        <f aca="true" t="shared" si="16" ref="Q70:Q86">O70*P70</f>
        <v>0</v>
      </c>
    </row>
    <row r="71" spans="2:17" ht="13.5">
      <c r="B71" s="1"/>
      <c r="C71" s="34" t="str">
        <f t="shared" si="4"/>
        <v>PZ3</v>
      </c>
      <c r="D71" s="145">
        <f t="shared" si="4"/>
        <v>500</v>
      </c>
      <c r="E71" s="147">
        <f t="shared" si="5"/>
        <v>0.4</v>
      </c>
      <c r="F71" s="145">
        <f t="shared" si="13"/>
        <v>200</v>
      </c>
      <c r="G71" s="145">
        <f t="shared" si="6"/>
        <v>18</v>
      </c>
      <c r="H71" s="35">
        <f t="shared" si="7"/>
        <v>2</v>
      </c>
      <c r="I71" s="146">
        <f t="shared" si="14"/>
        <v>36</v>
      </c>
      <c r="J71" s="1"/>
      <c r="K71" s="34" t="str">
        <f t="shared" si="8"/>
        <v>PZ3</v>
      </c>
      <c r="L71" s="145">
        <f t="shared" si="9"/>
        <v>500</v>
      </c>
      <c r="M71" s="147">
        <f t="shared" si="10"/>
        <v>0</v>
      </c>
      <c r="N71" s="145">
        <f t="shared" si="15"/>
        <v>0</v>
      </c>
      <c r="O71" s="145">
        <f t="shared" si="11"/>
        <v>18</v>
      </c>
      <c r="P71" s="35">
        <f t="shared" si="12"/>
        <v>0</v>
      </c>
      <c r="Q71" s="146">
        <f t="shared" si="16"/>
        <v>0</v>
      </c>
    </row>
    <row r="72" spans="2:17" ht="13.5">
      <c r="B72" s="1"/>
      <c r="C72" s="34" t="str">
        <f t="shared" si="4"/>
        <v>PZ4</v>
      </c>
      <c r="D72" s="145">
        <f t="shared" si="4"/>
        <v>500</v>
      </c>
      <c r="E72" s="147">
        <f t="shared" si="5"/>
        <v>0.4</v>
      </c>
      <c r="F72" s="145">
        <f t="shared" si="13"/>
        <v>200</v>
      </c>
      <c r="G72" s="145">
        <f t="shared" si="6"/>
        <v>9</v>
      </c>
      <c r="H72" s="35">
        <f t="shared" si="7"/>
        <v>2</v>
      </c>
      <c r="I72" s="146">
        <f t="shared" si="14"/>
        <v>18</v>
      </c>
      <c r="J72" s="1"/>
      <c r="K72" s="34" t="str">
        <f t="shared" si="8"/>
        <v>PZ4</v>
      </c>
      <c r="L72" s="145">
        <f t="shared" si="9"/>
        <v>500</v>
      </c>
      <c r="M72" s="147">
        <f t="shared" si="10"/>
        <v>0</v>
      </c>
      <c r="N72" s="145">
        <f t="shared" si="15"/>
        <v>0</v>
      </c>
      <c r="O72" s="145">
        <f t="shared" si="11"/>
        <v>9</v>
      </c>
      <c r="P72" s="35">
        <f t="shared" si="12"/>
        <v>0</v>
      </c>
      <c r="Q72" s="146">
        <f t="shared" si="16"/>
        <v>0</v>
      </c>
    </row>
    <row r="73" spans="2:17" ht="13.5">
      <c r="B73" s="1"/>
      <c r="C73" s="34" t="str">
        <f t="shared" si="4"/>
        <v>DI1</v>
      </c>
      <c r="D73" s="145">
        <f t="shared" si="4"/>
        <v>2500</v>
      </c>
      <c r="E73" s="147">
        <f t="shared" si="5"/>
        <v>0.2</v>
      </c>
      <c r="F73" s="145">
        <f t="shared" si="13"/>
        <v>500</v>
      </c>
      <c r="G73" s="145">
        <f t="shared" si="6"/>
        <v>40</v>
      </c>
      <c r="H73" s="35">
        <f t="shared" si="7"/>
        <v>2</v>
      </c>
      <c r="I73" s="146">
        <f t="shared" si="14"/>
        <v>80</v>
      </c>
      <c r="J73" s="1"/>
      <c r="K73" s="34" t="str">
        <f t="shared" si="8"/>
        <v>DI1</v>
      </c>
      <c r="L73" s="145">
        <f t="shared" si="9"/>
        <v>2500</v>
      </c>
      <c r="M73" s="147">
        <f t="shared" si="10"/>
        <v>0.5</v>
      </c>
      <c r="N73" s="145">
        <f t="shared" si="15"/>
        <v>1250</v>
      </c>
      <c r="O73" s="145">
        <f t="shared" si="11"/>
        <v>40</v>
      </c>
      <c r="P73" s="35">
        <f t="shared" si="12"/>
        <v>1</v>
      </c>
      <c r="Q73" s="146">
        <f t="shared" si="16"/>
        <v>40</v>
      </c>
    </row>
    <row r="74" spans="2:17" ht="13.5">
      <c r="B74" s="1"/>
      <c r="C74" s="34" t="str">
        <f t="shared" si="4"/>
        <v>DI2</v>
      </c>
      <c r="D74" s="145">
        <f t="shared" si="4"/>
        <v>3400</v>
      </c>
      <c r="E74" s="147">
        <f t="shared" si="5"/>
        <v>0.2</v>
      </c>
      <c r="F74" s="145">
        <f t="shared" si="13"/>
        <v>680</v>
      </c>
      <c r="G74" s="145">
        <f t="shared" si="6"/>
        <v>40</v>
      </c>
      <c r="H74" s="35">
        <f t="shared" si="7"/>
        <v>1.5</v>
      </c>
      <c r="I74" s="146">
        <f t="shared" si="14"/>
        <v>60</v>
      </c>
      <c r="J74" s="1"/>
      <c r="K74" s="34" t="str">
        <f t="shared" si="8"/>
        <v>DI2</v>
      </c>
      <c r="L74" s="145">
        <f t="shared" si="9"/>
        <v>3400</v>
      </c>
      <c r="M74" s="147">
        <f t="shared" si="10"/>
        <v>1</v>
      </c>
      <c r="N74" s="145">
        <f t="shared" si="15"/>
        <v>3400</v>
      </c>
      <c r="O74" s="145">
        <f t="shared" si="11"/>
        <v>40</v>
      </c>
      <c r="P74" s="35">
        <f t="shared" si="12"/>
        <v>0.5</v>
      </c>
      <c r="Q74" s="146">
        <f t="shared" si="16"/>
        <v>20</v>
      </c>
    </row>
    <row r="75" spans="2:17" ht="13.5">
      <c r="B75" s="1"/>
      <c r="C75" s="34" t="str">
        <f t="shared" si="4"/>
        <v>DI3</v>
      </c>
      <c r="D75" s="145">
        <f t="shared" si="4"/>
        <v>6250</v>
      </c>
      <c r="E75" s="147">
        <f t="shared" si="5"/>
        <v>0.3</v>
      </c>
      <c r="F75" s="145">
        <f t="shared" si="13"/>
        <v>1875</v>
      </c>
      <c r="G75" s="145">
        <f t="shared" si="6"/>
        <v>30</v>
      </c>
      <c r="H75" s="35">
        <f t="shared" si="7"/>
        <v>1.5</v>
      </c>
      <c r="I75" s="146">
        <f t="shared" si="14"/>
        <v>45</v>
      </c>
      <c r="J75" s="1"/>
      <c r="K75" s="34" t="str">
        <f t="shared" si="8"/>
        <v>DI3</v>
      </c>
      <c r="L75" s="145">
        <f t="shared" si="9"/>
        <v>6250</v>
      </c>
      <c r="M75" s="147">
        <f t="shared" si="10"/>
        <v>0.7</v>
      </c>
      <c r="N75" s="145">
        <f t="shared" si="15"/>
        <v>4375</v>
      </c>
      <c r="O75" s="145">
        <f t="shared" si="11"/>
        <v>30</v>
      </c>
      <c r="P75" s="35">
        <f t="shared" si="12"/>
        <v>1</v>
      </c>
      <c r="Q75" s="146">
        <f t="shared" si="16"/>
        <v>30</v>
      </c>
    </row>
    <row r="76" spans="2:17" ht="13.5">
      <c r="B76" s="1"/>
      <c r="C76" s="34" t="str">
        <f t="shared" si="4"/>
        <v>DI4</v>
      </c>
      <c r="D76" s="145">
        <f t="shared" si="4"/>
        <v>5000</v>
      </c>
      <c r="E76" s="147">
        <f t="shared" si="5"/>
        <v>0</v>
      </c>
      <c r="F76" s="145">
        <f t="shared" si="13"/>
        <v>0</v>
      </c>
      <c r="G76" s="145">
        <f t="shared" si="6"/>
        <v>25</v>
      </c>
      <c r="H76" s="35">
        <f t="shared" si="7"/>
        <v>0</v>
      </c>
      <c r="I76" s="146">
        <f t="shared" si="14"/>
        <v>0</v>
      </c>
      <c r="J76" s="1"/>
      <c r="K76" s="34" t="str">
        <f t="shared" si="8"/>
        <v>DI4</v>
      </c>
      <c r="L76" s="145">
        <f t="shared" si="9"/>
        <v>5000</v>
      </c>
      <c r="M76" s="147">
        <f t="shared" si="10"/>
        <v>0.2</v>
      </c>
      <c r="N76" s="145">
        <f t="shared" si="15"/>
        <v>1000</v>
      </c>
      <c r="O76" s="145">
        <f t="shared" si="11"/>
        <v>25</v>
      </c>
      <c r="P76" s="35">
        <f t="shared" si="12"/>
        <v>0.5</v>
      </c>
      <c r="Q76" s="146">
        <f t="shared" si="16"/>
        <v>12.5</v>
      </c>
    </row>
    <row r="77" spans="2:17" ht="13.5">
      <c r="B77" s="1"/>
      <c r="C77" s="34" t="str">
        <f t="shared" si="4"/>
        <v>DI5</v>
      </c>
      <c r="D77" s="145">
        <f t="shared" si="4"/>
        <v>500</v>
      </c>
      <c r="E77" s="147">
        <f t="shared" si="5"/>
        <v>0.2</v>
      </c>
      <c r="F77" s="145">
        <f t="shared" si="13"/>
        <v>100</v>
      </c>
      <c r="G77" s="145">
        <f t="shared" si="6"/>
        <v>15</v>
      </c>
      <c r="H77" s="35">
        <f t="shared" si="7"/>
        <v>1</v>
      </c>
      <c r="I77" s="146">
        <f t="shared" si="14"/>
        <v>15</v>
      </c>
      <c r="J77" s="1"/>
      <c r="K77" s="34" t="str">
        <f t="shared" si="8"/>
        <v>DI5</v>
      </c>
      <c r="L77" s="145">
        <f t="shared" si="9"/>
        <v>500</v>
      </c>
      <c r="M77" s="147">
        <f t="shared" si="10"/>
        <v>0</v>
      </c>
      <c r="N77" s="145">
        <f t="shared" si="15"/>
        <v>0</v>
      </c>
      <c r="O77" s="145">
        <f t="shared" si="11"/>
        <v>15</v>
      </c>
      <c r="P77" s="35">
        <f t="shared" si="12"/>
        <v>0</v>
      </c>
      <c r="Q77" s="146">
        <f t="shared" si="16"/>
        <v>0</v>
      </c>
    </row>
    <row r="78" spans="2:17" ht="13.5">
      <c r="B78" s="1"/>
      <c r="C78" s="34" t="str">
        <f t="shared" si="4"/>
        <v>RO1</v>
      </c>
      <c r="D78" s="145">
        <f t="shared" si="4"/>
        <v>8000</v>
      </c>
      <c r="E78" s="147">
        <f t="shared" si="5"/>
        <v>0</v>
      </c>
      <c r="F78" s="145">
        <f t="shared" si="13"/>
        <v>0</v>
      </c>
      <c r="G78" s="145">
        <f t="shared" si="6"/>
        <v>30</v>
      </c>
      <c r="H78" s="35">
        <f t="shared" si="7"/>
        <v>0</v>
      </c>
      <c r="I78" s="146">
        <f t="shared" si="14"/>
        <v>0</v>
      </c>
      <c r="J78" s="1"/>
      <c r="K78" s="34" t="str">
        <f t="shared" si="8"/>
        <v>RO1</v>
      </c>
      <c r="L78" s="145">
        <f t="shared" si="9"/>
        <v>8000</v>
      </c>
      <c r="M78" s="147">
        <f t="shared" si="10"/>
        <v>0.5</v>
      </c>
      <c r="N78" s="145">
        <f t="shared" si="15"/>
        <v>4000</v>
      </c>
      <c r="O78" s="145">
        <f t="shared" si="11"/>
        <v>30</v>
      </c>
      <c r="P78" s="35">
        <f t="shared" si="12"/>
        <v>2.5</v>
      </c>
      <c r="Q78" s="146">
        <f t="shared" si="16"/>
        <v>75</v>
      </c>
    </row>
    <row r="79" spans="2:17" ht="13.5">
      <c r="B79" s="1"/>
      <c r="C79" s="34" t="str">
        <f t="shared" si="4"/>
        <v>RO2</v>
      </c>
      <c r="D79" s="145">
        <f t="shared" si="4"/>
        <v>500</v>
      </c>
      <c r="E79" s="147">
        <f t="shared" si="5"/>
        <v>0</v>
      </c>
      <c r="F79" s="145">
        <f t="shared" si="13"/>
        <v>0</v>
      </c>
      <c r="G79" s="145">
        <f t="shared" si="6"/>
        <v>5</v>
      </c>
      <c r="H79" s="35">
        <f t="shared" si="7"/>
        <v>0</v>
      </c>
      <c r="I79" s="146">
        <f t="shared" si="14"/>
        <v>0</v>
      </c>
      <c r="J79" s="1"/>
      <c r="K79" s="34" t="str">
        <f t="shared" si="8"/>
        <v>RO2</v>
      </c>
      <c r="L79" s="145">
        <f t="shared" si="9"/>
        <v>500</v>
      </c>
      <c r="M79" s="147">
        <f t="shared" si="10"/>
        <v>0.95</v>
      </c>
      <c r="N79" s="145">
        <f t="shared" si="15"/>
        <v>475</v>
      </c>
      <c r="O79" s="145">
        <f t="shared" si="11"/>
        <v>5</v>
      </c>
      <c r="P79" s="35">
        <f t="shared" si="12"/>
        <v>3</v>
      </c>
      <c r="Q79" s="146">
        <f t="shared" si="16"/>
        <v>15</v>
      </c>
    </row>
    <row r="80" spans="2:17" ht="13.5">
      <c r="B80" s="1"/>
      <c r="C80" s="34" t="str">
        <f t="shared" si="4"/>
        <v>RO3</v>
      </c>
      <c r="D80" s="145">
        <f t="shared" si="4"/>
        <v>6500</v>
      </c>
      <c r="E80" s="147">
        <f t="shared" si="5"/>
        <v>0</v>
      </c>
      <c r="F80" s="145">
        <f t="shared" si="13"/>
        <v>0</v>
      </c>
      <c r="G80" s="145">
        <f t="shared" si="6"/>
        <v>20</v>
      </c>
      <c r="H80" s="35">
        <f t="shared" si="7"/>
        <v>0</v>
      </c>
      <c r="I80" s="146">
        <f t="shared" si="14"/>
        <v>0</v>
      </c>
      <c r="J80" s="1"/>
      <c r="K80" s="34" t="str">
        <f t="shared" si="8"/>
        <v>RO3</v>
      </c>
      <c r="L80" s="145">
        <f t="shared" si="9"/>
        <v>6500</v>
      </c>
      <c r="M80" s="147">
        <f t="shared" si="10"/>
        <v>0.98</v>
      </c>
      <c r="N80" s="145">
        <f t="shared" si="15"/>
        <v>6370</v>
      </c>
      <c r="O80" s="145">
        <f t="shared" si="11"/>
        <v>20</v>
      </c>
      <c r="P80" s="35">
        <f t="shared" si="12"/>
        <v>2.5</v>
      </c>
      <c r="Q80" s="146">
        <f t="shared" si="16"/>
        <v>50</v>
      </c>
    </row>
    <row r="81" spans="2:17" ht="13.5">
      <c r="B81" s="7"/>
      <c r="C81" s="34" t="str">
        <f t="shared" si="4"/>
        <v>RO4</v>
      </c>
      <c r="D81" s="145">
        <f t="shared" si="4"/>
        <v>500</v>
      </c>
      <c r="E81" s="147">
        <f t="shared" si="5"/>
        <v>0</v>
      </c>
      <c r="F81" s="145">
        <f t="shared" si="13"/>
        <v>0</v>
      </c>
      <c r="G81" s="145">
        <f t="shared" si="6"/>
        <v>10</v>
      </c>
      <c r="H81" s="35">
        <f t="shared" si="7"/>
        <v>0</v>
      </c>
      <c r="I81" s="146">
        <f t="shared" si="14"/>
        <v>0</v>
      </c>
      <c r="J81" s="1"/>
      <c r="K81" s="34" t="str">
        <f t="shared" si="8"/>
        <v>RO4</v>
      </c>
      <c r="L81" s="145">
        <f t="shared" si="9"/>
        <v>500</v>
      </c>
      <c r="M81" s="147">
        <f t="shared" si="10"/>
        <v>1.05</v>
      </c>
      <c r="N81" s="145">
        <f t="shared" si="15"/>
        <v>525</v>
      </c>
      <c r="O81" s="145">
        <f t="shared" si="11"/>
        <v>10</v>
      </c>
      <c r="P81" s="35">
        <f t="shared" si="12"/>
        <v>3</v>
      </c>
      <c r="Q81" s="146">
        <f t="shared" si="16"/>
        <v>30</v>
      </c>
    </row>
    <row r="82" spans="2:17" ht="13.5">
      <c r="B82" s="7"/>
      <c r="C82" s="34" t="str">
        <f t="shared" si="4"/>
        <v>RO5</v>
      </c>
      <c r="D82" s="145">
        <f t="shared" si="4"/>
        <v>10000</v>
      </c>
      <c r="E82" s="147">
        <f t="shared" si="5"/>
        <v>0</v>
      </c>
      <c r="F82" s="145">
        <f t="shared" si="13"/>
        <v>0</v>
      </c>
      <c r="G82" s="145">
        <f t="shared" si="6"/>
        <v>50</v>
      </c>
      <c r="H82" s="35">
        <f t="shared" si="7"/>
        <v>0</v>
      </c>
      <c r="I82" s="146">
        <f t="shared" si="14"/>
        <v>0</v>
      </c>
      <c r="J82" s="7"/>
      <c r="K82" s="34" t="str">
        <f t="shared" si="8"/>
        <v>RO5</v>
      </c>
      <c r="L82" s="145">
        <f t="shared" si="9"/>
        <v>10000</v>
      </c>
      <c r="M82" s="147">
        <f t="shared" si="10"/>
        <v>0.65</v>
      </c>
      <c r="N82" s="145">
        <f t="shared" si="15"/>
        <v>6500</v>
      </c>
      <c r="O82" s="145">
        <f t="shared" si="11"/>
        <v>50</v>
      </c>
      <c r="P82" s="35">
        <f t="shared" si="12"/>
        <v>4</v>
      </c>
      <c r="Q82" s="146">
        <f t="shared" si="16"/>
        <v>200</v>
      </c>
    </row>
    <row r="83" spans="2:17" ht="13.5">
      <c r="B83" s="1"/>
      <c r="C83" s="34" t="str">
        <f t="shared" si="4"/>
        <v>SP1</v>
      </c>
      <c r="D83" s="145">
        <f t="shared" si="4"/>
        <v>5000</v>
      </c>
      <c r="E83" s="147">
        <f t="shared" si="5"/>
        <v>0.5</v>
      </c>
      <c r="F83" s="145">
        <f t="shared" si="13"/>
        <v>2500</v>
      </c>
      <c r="G83" s="145">
        <f t="shared" si="6"/>
        <v>25</v>
      </c>
      <c r="H83" s="35">
        <f t="shared" si="7"/>
        <v>1.5</v>
      </c>
      <c r="I83" s="146">
        <f t="shared" si="14"/>
        <v>37.5</v>
      </c>
      <c r="J83" s="7"/>
      <c r="K83" s="34" t="str">
        <f t="shared" si="8"/>
        <v>SP1</v>
      </c>
      <c r="L83" s="145">
        <f t="shared" si="9"/>
        <v>5000</v>
      </c>
      <c r="M83" s="147">
        <f t="shared" si="10"/>
        <v>1.2</v>
      </c>
      <c r="N83" s="145">
        <f t="shared" si="15"/>
        <v>6000</v>
      </c>
      <c r="O83" s="145">
        <f t="shared" si="11"/>
        <v>25</v>
      </c>
      <c r="P83" s="35">
        <f t="shared" si="12"/>
        <v>2</v>
      </c>
      <c r="Q83" s="146">
        <f t="shared" si="16"/>
        <v>50</v>
      </c>
    </row>
    <row r="84" spans="2:17" ht="13.5">
      <c r="B84" s="1"/>
      <c r="C84" s="34" t="str">
        <f t="shared" si="4"/>
        <v>SP2</v>
      </c>
      <c r="D84" s="145">
        <f t="shared" si="4"/>
        <v>7000</v>
      </c>
      <c r="E84" s="147">
        <f t="shared" si="5"/>
        <v>0.45</v>
      </c>
      <c r="F84" s="145">
        <f t="shared" si="13"/>
        <v>3150</v>
      </c>
      <c r="G84" s="145">
        <f t="shared" si="6"/>
        <v>35</v>
      </c>
      <c r="H84" s="35">
        <f t="shared" si="7"/>
        <v>1</v>
      </c>
      <c r="I84" s="146">
        <f t="shared" si="14"/>
        <v>35</v>
      </c>
      <c r="J84" s="1"/>
      <c r="K84" s="34" t="str">
        <f t="shared" si="8"/>
        <v>SP2</v>
      </c>
      <c r="L84" s="145">
        <f t="shared" si="9"/>
        <v>7000</v>
      </c>
      <c r="M84" s="147">
        <f t="shared" si="10"/>
        <v>0.8</v>
      </c>
      <c r="N84" s="145">
        <f t="shared" si="15"/>
        <v>5600</v>
      </c>
      <c r="O84" s="145">
        <f t="shared" si="11"/>
        <v>35</v>
      </c>
      <c r="P84" s="35">
        <f t="shared" si="12"/>
        <v>1.5</v>
      </c>
      <c r="Q84" s="146">
        <f t="shared" si="16"/>
        <v>52.5</v>
      </c>
    </row>
    <row r="85" spans="2:17" ht="13.5">
      <c r="B85" s="1"/>
      <c r="C85" s="34" t="str">
        <f t="shared" si="4"/>
        <v>SP3</v>
      </c>
      <c r="D85" s="145">
        <f t="shared" si="4"/>
        <v>2600</v>
      </c>
      <c r="E85" s="147">
        <f t="shared" si="5"/>
        <v>0.3</v>
      </c>
      <c r="F85" s="145">
        <f t="shared" si="13"/>
        <v>780</v>
      </c>
      <c r="G85" s="145">
        <f t="shared" si="6"/>
        <v>13</v>
      </c>
      <c r="H85" s="35">
        <f t="shared" si="7"/>
        <v>1.2</v>
      </c>
      <c r="I85" s="146">
        <f t="shared" si="14"/>
        <v>15.6</v>
      </c>
      <c r="J85" s="1"/>
      <c r="K85" s="34" t="str">
        <f t="shared" si="8"/>
        <v>SP3</v>
      </c>
      <c r="L85" s="145">
        <f t="shared" si="9"/>
        <v>2600</v>
      </c>
      <c r="M85" s="147">
        <f t="shared" si="10"/>
        <v>0.9</v>
      </c>
      <c r="N85" s="145">
        <f t="shared" si="15"/>
        <v>2340</v>
      </c>
      <c r="O85" s="145">
        <f t="shared" si="11"/>
        <v>13</v>
      </c>
      <c r="P85" s="35">
        <f t="shared" si="12"/>
        <v>1</v>
      </c>
      <c r="Q85" s="146">
        <f t="shared" si="16"/>
        <v>13</v>
      </c>
    </row>
    <row r="86" spans="2:19" ht="14.25" thickBot="1">
      <c r="B86" s="1"/>
      <c r="C86" s="34" t="str">
        <f t="shared" si="4"/>
        <v>SP4</v>
      </c>
      <c r="D86" s="145">
        <f t="shared" si="4"/>
        <v>2000</v>
      </c>
      <c r="E86" s="147">
        <f t="shared" si="5"/>
        <v>0.6</v>
      </c>
      <c r="F86" s="145">
        <f t="shared" si="13"/>
        <v>1200</v>
      </c>
      <c r="G86" s="145">
        <f t="shared" si="6"/>
        <v>20</v>
      </c>
      <c r="H86" s="35">
        <f t="shared" si="7"/>
        <v>2</v>
      </c>
      <c r="I86" s="146">
        <f t="shared" si="14"/>
        <v>40</v>
      </c>
      <c r="J86" s="1"/>
      <c r="K86" s="34" t="str">
        <f t="shared" si="8"/>
        <v>SP4</v>
      </c>
      <c r="L86" s="145">
        <f t="shared" si="9"/>
        <v>2000</v>
      </c>
      <c r="M86" s="147">
        <f t="shared" si="10"/>
        <v>1.5</v>
      </c>
      <c r="N86" s="145">
        <f t="shared" si="15"/>
        <v>3000</v>
      </c>
      <c r="O86" s="145">
        <f t="shared" si="11"/>
        <v>20</v>
      </c>
      <c r="P86" s="35">
        <f t="shared" si="12"/>
        <v>2</v>
      </c>
      <c r="Q86" s="146">
        <f t="shared" si="16"/>
        <v>40</v>
      </c>
      <c r="R86" s="1"/>
      <c r="S86" s="1"/>
    </row>
    <row r="87" spans="2:19" ht="13.5">
      <c r="B87" s="1"/>
      <c r="C87" s="97"/>
      <c r="D87" s="98"/>
      <c r="E87" s="94" t="s">
        <v>24</v>
      </c>
      <c r="F87" s="149">
        <f>SUM(F69:F86)</f>
        <v>11585</v>
      </c>
      <c r="G87" s="98"/>
      <c r="H87" s="94" t="s">
        <v>24</v>
      </c>
      <c r="I87" s="150">
        <f>SUM(I69:I86)</f>
        <v>430.1</v>
      </c>
      <c r="J87" s="1"/>
      <c r="K87" s="97"/>
      <c r="L87" s="98"/>
      <c r="M87" s="94" t="s">
        <v>24</v>
      </c>
      <c r="N87" s="149">
        <f>SUM(N69:N86)</f>
        <v>44835</v>
      </c>
      <c r="O87" s="98"/>
      <c r="P87" s="94" t="s">
        <v>24</v>
      </c>
      <c r="Q87" s="150">
        <f>SUM(Q69:Q86)</f>
        <v>628</v>
      </c>
      <c r="R87" s="1"/>
      <c r="S87" s="1"/>
    </row>
    <row r="88" spans="2:19" ht="42" thickBot="1">
      <c r="B88" s="1"/>
      <c r="C88" s="36"/>
      <c r="D88" s="37"/>
      <c r="E88" s="95" t="s">
        <v>135</v>
      </c>
      <c r="F88" s="148">
        <f>CEILING(F87/(1-D36),1)</f>
        <v>12068</v>
      </c>
      <c r="G88" s="37"/>
      <c r="H88" s="37"/>
      <c r="I88" s="38"/>
      <c r="J88" s="1"/>
      <c r="K88" s="36"/>
      <c r="L88" s="37"/>
      <c r="M88" s="95" t="s">
        <v>51</v>
      </c>
      <c r="N88" s="148">
        <f>N87/(1-H36)</f>
        <v>46703.125</v>
      </c>
      <c r="O88" s="37"/>
      <c r="P88" s="37"/>
      <c r="Q88" s="38"/>
      <c r="R88" s="1"/>
      <c r="S88" s="1"/>
    </row>
    <row r="89" spans="7:19" ht="14.25" thickBot="1">
      <c r="G89" s="39"/>
      <c r="H89" s="39"/>
      <c r="I89" s="3"/>
      <c r="J89" s="1"/>
      <c r="R89" s="1"/>
      <c r="S89" s="1"/>
    </row>
    <row r="90" spans="3:19" ht="13.5">
      <c r="C90" s="115" t="s">
        <v>63</v>
      </c>
      <c r="D90" s="102" t="s">
        <v>64</v>
      </c>
      <c r="G90" s="3"/>
      <c r="H90" s="3"/>
      <c r="I90" s="1"/>
      <c r="J90" s="3"/>
      <c r="R90" s="1"/>
      <c r="S90" s="1"/>
    </row>
    <row r="91" spans="3:17" ht="13.5">
      <c r="C91" s="16" t="s">
        <v>19</v>
      </c>
      <c r="D91" s="113">
        <f>(F88+I87)*1/D38*1/D39*1</f>
        <v>13995.632698768199</v>
      </c>
      <c r="G91" s="3"/>
      <c r="H91" s="3"/>
      <c r="I91" s="1"/>
      <c r="J91" s="1"/>
      <c r="K91" s="1"/>
      <c r="L91" s="1"/>
      <c r="M91" s="1"/>
      <c r="N91" s="1"/>
      <c r="O91" s="1"/>
      <c r="P91" s="1"/>
      <c r="Q91" s="1"/>
    </row>
    <row r="92" spans="3:17" ht="14.25" thickBot="1">
      <c r="C92" s="103" t="s">
        <v>23</v>
      </c>
      <c r="D92" s="114">
        <f>(N88+Q87)*1/D38*1/D39*1</f>
        <v>53002.37961926092</v>
      </c>
      <c r="G92" s="3"/>
      <c r="H92" s="3"/>
      <c r="I92" s="1"/>
      <c r="J92" s="1"/>
      <c r="K92" s="1"/>
      <c r="L92" s="1"/>
      <c r="M92" s="1"/>
      <c r="N92" s="1"/>
      <c r="O92" s="1"/>
      <c r="P92" s="1"/>
      <c r="Q92" s="1"/>
    </row>
    <row r="93" spans="1:17" ht="14.25" thickBot="1">
      <c r="A93" s="99" t="s">
        <v>53</v>
      </c>
      <c r="B93" s="1"/>
      <c r="C93" s="19"/>
      <c r="D93" s="39"/>
      <c r="E93" s="39"/>
      <c r="F93" s="39"/>
      <c r="G93" s="42"/>
      <c r="H93" s="42"/>
      <c r="I93" s="3"/>
      <c r="J93" s="1"/>
      <c r="K93" s="1"/>
      <c r="L93" s="1"/>
      <c r="M93" s="1"/>
      <c r="N93" s="1"/>
      <c r="O93" s="1"/>
      <c r="P93" s="1"/>
      <c r="Q93" s="1"/>
    </row>
    <row r="94" spans="2:19" ht="42">
      <c r="B94" s="1"/>
      <c r="C94" s="47"/>
      <c r="D94" s="101" t="s">
        <v>54</v>
      </c>
      <c r="E94" s="101" t="s">
        <v>55</v>
      </c>
      <c r="F94" s="101" t="s">
        <v>56</v>
      </c>
      <c r="G94" s="116" t="s">
        <v>65</v>
      </c>
      <c r="H94" s="21"/>
      <c r="I94" s="3"/>
      <c r="J94" s="3">
        <f>11585/(1-0.04)</f>
        <v>12067.708333333334</v>
      </c>
      <c r="K94" s="1"/>
      <c r="L94" s="1"/>
      <c r="M94" s="1"/>
      <c r="N94" s="1"/>
      <c r="O94" s="1"/>
      <c r="P94" s="1"/>
      <c r="Q94" s="1"/>
      <c r="R94" s="1"/>
      <c r="S94" s="1"/>
    </row>
    <row r="95" spans="2:19" ht="13.5">
      <c r="B95" s="1"/>
      <c r="C95" s="16" t="s">
        <v>19</v>
      </c>
      <c r="D95" s="100">
        <f>E29*K29*K28*K30</f>
        <v>6600</v>
      </c>
      <c r="E95" s="151">
        <f>D40</f>
        <v>0.8</v>
      </c>
      <c r="F95" s="117">
        <f>D95*E95</f>
        <v>5280</v>
      </c>
      <c r="G95" s="113">
        <f>D91-F95</f>
        <v>8715.632698768199</v>
      </c>
      <c r="H95" s="105" t="s">
        <v>64</v>
      </c>
      <c r="I95" s="3"/>
      <c r="J95" s="3">
        <f>11585*(1+0.04)</f>
        <v>12048.4</v>
      </c>
      <c r="K95" s="1"/>
      <c r="L95" s="1"/>
      <c r="M95" s="1"/>
      <c r="N95" s="1"/>
      <c r="O95" s="1"/>
      <c r="P95" s="1"/>
      <c r="Q95" s="1"/>
      <c r="R95" s="1"/>
      <c r="S95" s="1"/>
    </row>
    <row r="96" spans="2:19" ht="14.25" thickBot="1">
      <c r="B96" s="1"/>
      <c r="C96" s="103" t="s">
        <v>23</v>
      </c>
      <c r="D96" s="104">
        <f>E33*K29*K30*K28</f>
        <v>39600</v>
      </c>
      <c r="E96" s="152">
        <f>H40</f>
        <v>0.8</v>
      </c>
      <c r="F96" s="118">
        <f>D96*E96</f>
        <v>31680</v>
      </c>
      <c r="G96" s="114">
        <f>D92-F96</f>
        <v>21322.379619260922</v>
      </c>
      <c r="H96" s="105" t="s">
        <v>64</v>
      </c>
      <c r="I96" s="3"/>
      <c r="J96" s="3"/>
      <c r="K96" s="1"/>
      <c r="L96" s="1"/>
      <c r="M96" s="1"/>
      <c r="N96" s="1"/>
      <c r="O96" s="1"/>
      <c r="P96" s="1"/>
      <c r="Q96" s="1"/>
      <c r="R96" s="1"/>
      <c r="S96" s="1"/>
    </row>
    <row r="97" spans="2:19" ht="13.5">
      <c r="B97" s="4"/>
      <c r="C97" s="41"/>
      <c r="D97" s="42"/>
      <c r="E97" s="42"/>
      <c r="F97" s="42"/>
      <c r="G97" s="42"/>
      <c r="H97" s="42"/>
      <c r="I97" s="3"/>
      <c r="J97" s="3"/>
      <c r="K97" s="1"/>
      <c r="L97" s="4"/>
      <c r="M97" s="4"/>
      <c r="N97" s="4"/>
      <c r="O97" s="4"/>
      <c r="P97" s="1"/>
      <c r="Q97" s="1"/>
      <c r="R97" s="1"/>
      <c r="S97" s="1"/>
    </row>
    <row r="98" spans="2:19" ht="13.5">
      <c r="B98" s="4"/>
      <c r="C98" s="41"/>
      <c r="D98" s="42"/>
      <c r="E98" s="42"/>
      <c r="F98" s="42"/>
      <c r="G98" s="42"/>
      <c r="H98" s="42"/>
      <c r="I98" s="68"/>
      <c r="J98" s="5"/>
      <c r="K98" s="4"/>
      <c r="L98" s="4"/>
      <c r="M98" s="4"/>
      <c r="N98" s="4"/>
      <c r="O98" s="4"/>
      <c r="P98" s="4"/>
      <c r="Q98" s="4"/>
      <c r="R98" s="4"/>
      <c r="S98" s="4"/>
    </row>
    <row r="99" spans="2:19" ht="13.5">
      <c r="B99" s="1"/>
      <c r="C99" s="110"/>
      <c r="D99" s="31"/>
      <c r="E99" s="3"/>
      <c r="F99" s="3"/>
      <c r="G99" s="3"/>
      <c r="H99" s="3"/>
      <c r="I99" s="68"/>
      <c r="J99" s="45"/>
      <c r="K99" s="4"/>
      <c r="L99" s="1"/>
      <c r="M99" s="1"/>
      <c r="N99" s="1"/>
      <c r="O99" s="1"/>
      <c r="P99" s="4"/>
      <c r="Q99" s="4"/>
      <c r="R99" s="4"/>
      <c r="S99" s="4"/>
    </row>
    <row r="100" spans="2:19" ht="14.25">
      <c r="B100" s="1"/>
      <c r="C100" s="106"/>
      <c r="D100" s="107"/>
      <c r="E100" s="107"/>
      <c r="F100" s="107"/>
      <c r="G100" s="107"/>
      <c r="H100" s="107"/>
      <c r="I100" s="45"/>
      <c r="J100" s="3"/>
      <c r="K100" s="1"/>
      <c r="L100" s="1"/>
      <c r="M100" s="1"/>
      <c r="N100" s="1"/>
      <c r="O100" s="1"/>
      <c r="P100" s="1"/>
      <c r="Q100" s="1"/>
      <c r="R100" s="1"/>
      <c r="S100" s="1"/>
    </row>
    <row r="101" spans="2:19" ht="13.5">
      <c r="B101" s="1"/>
      <c r="C101" s="3"/>
      <c r="D101" s="43"/>
      <c r="E101" s="43"/>
      <c r="F101" s="43"/>
      <c r="G101" s="43"/>
      <c r="H101" s="43"/>
      <c r="I101" s="5"/>
      <c r="J101" s="3"/>
      <c r="K101" s="1"/>
      <c r="L101" s="1"/>
      <c r="M101" s="1"/>
      <c r="N101" s="1"/>
      <c r="O101" s="1"/>
      <c r="P101" s="1"/>
      <c r="Q101" s="1"/>
      <c r="R101" s="1"/>
      <c r="S101" s="1"/>
    </row>
    <row r="102" spans="2:19" ht="13.5">
      <c r="B102" s="1"/>
      <c r="C102" s="41"/>
      <c r="D102" s="43"/>
      <c r="E102" s="43"/>
      <c r="F102" s="43"/>
      <c r="G102" s="43"/>
      <c r="H102" s="43"/>
      <c r="I102" s="3"/>
      <c r="J102" s="108"/>
      <c r="K102" s="1"/>
      <c r="L102" s="1"/>
      <c r="M102" s="1"/>
      <c r="N102" s="1"/>
      <c r="O102" s="1"/>
      <c r="P102" s="1"/>
      <c r="Q102" s="1"/>
      <c r="R102" s="1"/>
      <c r="S102" s="1"/>
    </row>
    <row r="103" spans="2:19" ht="13.5">
      <c r="B103" s="1"/>
      <c r="C103" s="31"/>
      <c r="D103" s="3"/>
      <c r="E103" s="3"/>
      <c r="F103" s="3"/>
      <c r="G103" s="3"/>
      <c r="H103" s="3"/>
      <c r="I103" s="211"/>
      <c r="J103" s="109"/>
      <c r="K103" s="1"/>
      <c r="L103" s="1"/>
      <c r="M103" s="1"/>
      <c r="N103" s="1"/>
      <c r="O103" s="1"/>
      <c r="P103" s="1"/>
      <c r="Q103" s="1"/>
      <c r="R103" s="1"/>
      <c r="S103" s="1"/>
    </row>
    <row r="104" spans="2:19" ht="14.25">
      <c r="B104" s="1"/>
      <c r="C104" s="106"/>
      <c r="D104" s="107"/>
      <c r="E104" s="107"/>
      <c r="F104" s="107"/>
      <c r="G104" s="107"/>
      <c r="H104" s="107"/>
      <c r="I104" s="211"/>
      <c r="J104" s="3"/>
      <c r="K104" s="1"/>
      <c r="L104" s="1"/>
      <c r="M104" s="1"/>
      <c r="N104" s="1"/>
      <c r="O104" s="1"/>
      <c r="P104" s="1"/>
      <c r="Q104" s="1"/>
      <c r="R104" s="1"/>
      <c r="S104" s="1"/>
    </row>
    <row r="105" spans="2:19" ht="13.5">
      <c r="B105" s="1"/>
      <c r="C105" s="3"/>
      <c r="D105" s="44"/>
      <c r="E105" s="44"/>
      <c r="F105" s="44"/>
      <c r="G105" s="44"/>
      <c r="H105" s="44"/>
      <c r="I105" s="211"/>
      <c r="J105" s="3"/>
      <c r="K105" s="1"/>
      <c r="L105" s="1"/>
      <c r="M105" s="1"/>
      <c r="N105" s="1"/>
      <c r="O105" s="1"/>
      <c r="P105" s="1"/>
      <c r="Q105" s="1"/>
      <c r="R105" s="1"/>
      <c r="S105" s="1"/>
    </row>
    <row r="106" spans="2:19" ht="13.5">
      <c r="B106" s="1"/>
      <c r="C106" s="41"/>
      <c r="D106" s="44"/>
      <c r="E106" s="44"/>
      <c r="F106" s="44"/>
      <c r="G106" s="44"/>
      <c r="H106" s="44"/>
      <c r="I106" s="3"/>
      <c r="J106" s="108"/>
      <c r="K106" s="1"/>
      <c r="L106" s="1"/>
      <c r="M106" s="1"/>
      <c r="N106" s="1"/>
      <c r="O106" s="1"/>
      <c r="P106" s="1"/>
      <c r="Q106" s="1"/>
      <c r="R106" s="1"/>
      <c r="S106" s="1"/>
    </row>
    <row r="107" spans="2:19" ht="13.5">
      <c r="B107" s="1"/>
      <c r="C107" s="41"/>
      <c r="D107" s="44"/>
      <c r="E107" s="44"/>
      <c r="F107" s="44"/>
      <c r="G107" s="44"/>
      <c r="H107" s="44"/>
      <c r="I107" s="211"/>
      <c r="J107" s="3"/>
      <c r="K107" s="1"/>
      <c r="L107" s="1"/>
      <c r="M107" s="1"/>
      <c r="N107" s="1"/>
      <c r="O107" s="1"/>
      <c r="P107" s="1"/>
      <c r="Q107" s="1"/>
      <c r="R107" s="1"/>
      <c r="S107" s="1"/>
    </row>
    <row r="108" spans="3:19" ht="13.5">
      <c r="C108" s="110"/>
      <c r="D108" s="3"/>
      <c r="E108" s="3"/>
      <c r="F108" s="3"/>
      <c r="G108" s="3"/>
      <c r="H108" s="3"/>
      <c r="I108" s="211"/>
      <c r="J108" s="3"/>
      <c r="K108" s="1"/>
      <c r="P108" s="1"/>
      <c r="Q108" s="1"/>
      <c r="R108" s="1"/>
      <c r="S108" s="1"/>
    </row>
    <row r="109" spans="3:10" ht="14.25">
      <c r="C109" s="41"/>
      <c r="D109" s="107"/>
      <c r="E109" s="107"/>
      <c r="F109" s="107"/>
      <c r="G109" s="107"/>
      <c r="H109" s="107"/>
      <c r="I109" s="211"/>
      <c r="J109" s="67"/>
    </row>
    <row r="110" spans="3:10" ht="13.5">
      <c r="C110" s="3"/>
      <c r="D110" s="43"/>
      <c r="E110" s="43"/>
      <c r="F110" s="43"/>
      <c r="G110" s="43"/>
      <c r="H110" s="43"/>
      <c r="I110" s="3"/>
      <c r="J110" s="67"/>
    </row>
    <row r="111" spans="3:10" ht="13.5">
      <c r="C111" s="41"/>
      <c r="D111" s="43"/>
      <c r="E111" s="43"/>
      <c r="F111" s="43"/>
      <c r="G111" s="43"/>
      <c r="H111" s="43"/>
      <c r="I111" s="67"/>
      <c r="J111" s="67"/>
    </row>
    <row r="112" spans="3:10" ht="13.5">
      <c r="C112" s="110"/>
      <c r="D112" s="3"/>
      <c r="E112" s="3"/>
      <c r="F112" s="3"/>
      <c r="G112" s="3"/>
      <c r="H112" s="3"/>
      <c r="I112" s="67"/>
      <c r="J112" s="67"/>
    </row>
    <row r="113" spans="3:10" ht="14.25">
      <c r="C113" s="41"/>
      <c r="D113" s="107"/>
      <c r="E113" s="107"/>
      <c r="F113" s="107"/>
      <c r="G113" s="107"/>
      <c r="H113" s="107"/>
      <c r="I113" s="67"/>
      <c r="J113" s="67"/>
    </row>
    <row r="114" spans="3:10" ht="13.5">
      <c r="C114" s="3"/>
      <c r="D114" s="43"/>
      <c r="E114" s="43"/>
      <c r="F114" s="43"/>
      <c r="G114" s="43"/>
      <c r="H114" s="43"/>
      <c r="I114" s="67"/>
      <c r="J114" s="67"/>
    </row>
    <row r="115" spans="3:10" ht="13.5">
      <c r="C115" s="41"/>
      <c r="D115" s="43"/>
      <c r="E115" s="43"/>
      <c r="F115" s="43"/>
      <c r="G115" s="43"/>
      <c r="H115" s="43"/>
      <c r="I115" s="67"/>
      <c r="J115" s="67"/>
    </row>
    <row r="116" spans="3:10" ht="13.5">
      <c r="C116" s="31"/>
      <c r="D116" s="3"/>
      <c r="E116" s="3"/>
      <c r="F116" s="3"/>
      <c r="G116" s="3"/>
      <c r="H116" s="3"/>
      <c r="I116" s="67"/>
      <c r="J116" s="67"/>
    </row>
    <row r="117" ht="12.75">
      <c r="J117" s="67"/>
    </row>
  </sheetData>
  <sheetProtection/>
  <mergeCells count="12">
    <mergeCell ref="K67:Q67"/>
    <mergeCell ref="C7:H7"/>
    <mergeCell ref="J7:O7"/>
    <mergeCell ref="G42:H42"/>
    <mergeCell ref="B4:O4"/>
    <mergeCell ref="B64:O64"/>
    <mergeCell ref="I103:I105"/>
    <mergeCell ref="I107:I109"/>
    <mergeCell ref="C28:D28"/>
    <mergeCell ref="C67:I67"/>
    <mergeCell ref="J36:K36"/>
    <mergeCell ref="C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12"/>
  <sheetViews>
    <sheetView zoomScalePageLayoutView="0" workbookViewId="0" topLeftCell="A1">
      <selection activeCell="C90" sqref="C90"/>
    </sheetView>
  </sheetViews>
  <sheetFormatPr defaultColWidth="9.140625" defaultRowHeight="12.75"/>
  <cols>
    <col min="1" max="1" width="43.7109375" style="0" customWidth="1"/>
    <col min="2" max="2" width="43.00390625" style="0" bestFit="1" customWidth="1"/>
    <col min="3" max="3" width="11.00390625" style="0" bestFit="1" customWidth="1"/>
    <col min="4" max="4" width="15.421875" style="0" bestFit="1" customWidth="1"/>
    <col min="5" max="5" width="12.8515625" style="0" bestFit="1" customWidth="1"/>
    <col min="6" max="6" width="20.8515625" style="0" bestFit="1" customWidth="1"/>
    <col min="7" max="8" width="23.140625" style="0" bestFit="1" customWidth="1"/>
    <col min="9" max="9" width="19.7109375" style="0" customWidth="1"/>
  </cols>
  <sheetData>
    <row r="1" ht="13.5" thickBot="1"/>
    <row r="2" spans="1:14" ht="25.5" thickBot="1">
      <c r="A2" s="205" t="s">
        <v>117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7"/>
    </row>
    <row r="3" ht="13.5" thickBot="1"/>
    <row r="4" spans="1:6" ht="13.5">
      <c r="A4" s="93" t="s">
        <v>29</v>
      </c>
      <c r="B4" s="48">
        <v>220</v>
      </c>
      <c r="C4" s="132" t="s">
        <v>73</v>
      </c>
      <c r="E4" s="120"/>
      <c r="F4" s="69" t="s">
        <v>109</v>
      </c>
    </row>
    <row r="5" spans="1:6" ht="13.5">
      <c r="A5" s="14" t="s">
        <v>30</v>
      </c>
      <c r="B5" s="15">
        <v>7.5</v>
      </c>
      <c r="C5" s="133" t="s">
        <v>74</v>
      </c>
      <c r="E5" s="128" t="s">
        <v>19</v>
      </c>
      <c r="F5" s="163">
        <v>150000</v>
      </c>
    </row>
    <row r="6" spans="1:6" ht="13.5">
      <c r="A6" s="14" t="s">
        <v>104</v>
      </c>
      <c r="B6" s="68">
        <v>2</v>
      </c>
      <c r="C6" s="133" t="s">
        <v>105</v>
      </c>
      <c r="E6" s="128" t="s">
        <v>20</v>
      </c>
      <c r="F6" s="163">
        <v>300000</v>
      </c>
    </row>
    <row r="7" spans="1:6" ht="13.5">
      <c r="A7" s="14" t="s">
        <v>72</v>
      </c>
      <c r="B7" s="50">
        <v>13.5</v>
      </c>
      <c r="C7" s="133" t="s">
        <v>75</v>
      </c>
      <c r="E7" s="128" t="s">
        <v>21</v>
      </c>
      <c r="F7" s="163">
        <v>200000</v>
      </c>
    </row>
    <row r="8" spans="1:6" ht="13.5">
      <c r="A8" s="14" t="s">
        <v>76</v>
      </c>
      <c r="B8" s="15">
        <v>14.5</v>
      </c>
      <c r="C8" s="133" t="s">
        <v>75</v>
      </c>
      <c r="E8" s="128" t="s">
        <v>22</v>
      </c>
      <c r="F8" s="163">
        <v>250000</v>
      </c>
    </row>
    <row r="9" spans="1:6" ht="14.25" thickBot="1">
      <c r="A9" s="14" t="s">
        <v>77</v>
      </c>
      <c r="B9" s="15">
        <v>15.5</v>
      </c>
      <c r="C9" s="133" t="s">
        <v>75</v>
      </c>
      <c r="E9" s="140" t="s">
        <v>23</v>
      </c>
      <c r="F9" s="164">
        <v>250000</v>
      </c>
    </row>
    <row r="10" spans="1:3" ht="14.25" thickBot="1">
      <c r="A10" s="17" t="s">
        <v>88</v>
      </c>
      <c r="B10" s="18">
        <v>21</v>
      </c>
      <c r="C10" s="134" t="s">
        <v>75</v>
      </c>
    </row>
    <row r="11" spans="1:3" ht="14.25" thickBot="1">
      <c r="A11" s="19"/>
      <c r="B11" s="8"/>
      <c r="C11" s="1"/>
    </row>
    <row r="12" spans="1:3" ht="13.5">
      <c r="A12" s="217" t="s">
        <v>99</v>
      </c>
      <c r="B12" s="218"/>
      <c r="C12" s="1"/>
    </row>
    <row r="13" spans="1:3" ht="13.5">
      <c r="A13" s="144">
        <v>2</v>
      </c>
      <c r="B13" s="187" t="s">
        <v>58</v>
      </c>
      <c r="C13" s="1"/>
    </row>
    <row r="14" spans="1:3" ht="14.25" thickBot="1">
      <c r="A14" s="188">
        <v>8</v>
      </c>
      <c r="B14" s="189" t="s">
        <v>59</v>
      </c>
      <c r="C14" s="8"/>
    </row>
    <row r="16" ht="13.5" thickBot="1"/>
    <row r="17" spans="1:14" ht="25.5" thickBot="1">
      <c r="A17" s="208" t="s">
        <v>121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10"/>
    </row>
    <row r="18" ht="13.5" thickBot="1"/>
    <row r="19" ht="13.5" thickBot="1">
      <c r="A19" s="112" t="s">
        <v>57</v>
      </c>
    </row>
    <row r="20" spans="2:3" ht="13.5" thickBot="1">
      <c r="B20" s="111"/>
      <c r="C20" s="111" t="s">
        <v>64</v>
      </c>
    </row>
    <row r="21" spans="2:4" ht="13.5" thickBot="1">
      <c r="B21" s="190" t="s">
        <v>60</v>
      </c>
      <c r="C21" s="191">
        <f>A13*B4+B4/5*A14</f>
        <v>792</v>
      </c>
      <c r="D21" t="s">
        <v>65</v>
      </c>
    </row>
    <row r="22" spans="2:6" ht="12.75">
      <c r="B22" s="192" t="s">
        <v>61</v>
      </c>
      <c r="C22" s="193">
        <f>'Capacity Analysis'!E29*C21*'Capacity Analysis'!D40</f>
        <v>1267.2</v>
      </c>
      <c r="D22" s="196">
        <f>'Capacity Analysis'!G95</f>
        <v>8715.632698768199</v>
      </c>
      <c r="F22" s="153" t="s">
        <v>106</v>
      </c>
    </row>
    <row r="23" spans="2:4" ht="13.5" thickBot="1">
      <c r="B23" s="194" t="s">
        <v>86</v>
      </c>
      <c r="C23" s="195">
        <f>'Capacity Analysis'!E33*Alternatives!C21*'Capacity Analysis'!H40</f>
        <v>7603.200000000001</v>
      </c>
      <c r="D23" s="197">
        <f>'Capacity Analysis'!G96</f>
        <v>21322.379619260922</v>
      </c>
    </row>
    <row r="24" spans="2:3" ht="13.5" thickBot="1">
      <c r="B24" s="111"/>
      <c r="C24" s="111"/>
    </row>
    <row r="25" ht="13.5" thickBot="1">
      <c r="A25" s="112" t="s">
        <v>62</v>
      </c>
    </row>
    <row r="26" spans="2:4" ht="13.5" thickBot="1">
      <c r="B26" s="120"/>
      <c r="C26" s="121" t="s">
        <v>64</v>
      </c>
      <c r="D26" t="s">
        <v>65</v>
      </c>
    </row>
    <row r="27" spans="2:6" ht="15" customHeight="1">
      <c r="B27" s="122" t="s">
        <v>19</v>
      </c>
      <c r="C27" s="137">
        <f>'Capacity Analysis'!E29*Alternatives!B5*Alternatives!B4*'Capacity Analysis'!D40</f>
        <v>2640</v>
      </c>
      <c r="D27" s="196">
        <f>D22</f>
        <v>8715.632698768199</v>
      </c>
      <c r="F27" s="153" t="s">
        <v>106</v>
      </c>
    </row>
    <row r="28" spans="2:4" ht="13.5" thickBot="1">
      <c r="B28" s="124" t="s">
        <v>23</v>
      </c>
      <c r="C28" s="138">
        <f>'Capacity Analysis'!E33*Alternatives!B5*Alternatives!B4*'Capacity Analysis'!H40</f>
        <v>15840</v>
      </c>
      <c r="D28" s="197">
        <f>D23</f>
        <v>21322.379619260922</v>
      </c>
    </row>
    <row r="29" ht="13.5" thickBot="1"/>
    <row r="30" ht="13.5" thickBot="1">
      <c r="A30" s="112" t="s">
        <v>79</v>
      </c>
    </row>
    <row r="31" spans="2:6" ht="13.5" thickBot="1">
      <c r="B31" s="198" t="s">
        <v>66</v>
      </c>
      <c r="C31" s="199">
        <f>B5*F32*B4*'Capacity Analysis'!D40</f>
        <v>3960</v>
      </c>
      <c r="F31" s="119" t="s">
        <v>104</v>
      </c>
    </row>
    <row r="32" ht="13.5" thickBot="1">
      <c r="F32" s="88">
        <v>3</v>
      </c>
    </row>
    <row r="33" spans="2:4" ht="12.75">
      <c r="B33" s="120"/>
      <c r="C33" s="127" t="s">
        <v>19</v>
      </c>
      <c r="D33" s="121" t="s">
        <v>23</v>
      </c>
    </row>
    <row r="34" spans="2:4" ht="12.75">
      <c r="B34" s="128" t="s">
        <v>82</v>
      </c>
      <c r="C34" s="155">
        <f>D22</f>
        <v>8715.632698768199</v>
      </c>
      <c r="D34" s="156">
        <f>D23</f>
        <v>21322.379619260922</v>
      </c>
    </row>
    <row r="35" spans="2:4" ht="12.75">
      <c r="B35" s="129" t="s">
        <v>84</v>
      </c>
      <c r="C35" s="88">
        <f>C27</f>
        <v>2640</v>
      </c>
      <c r="D35" s="123">
        <f>C28</f>
        <v>15840</v>
      </c>
    </row>
    <row r="36" spans="2:4" ht="12.75">
      <c r="B36" s="129" t="s">
        <v>83</v>
      </c>
      <c r="C36" s="155">
        <f>C34-C35</f>
        <v>6075.632698768199</v>
      </c>
      <c r="D36" s="156">
        <f>D34-D35</f>
        <v>5482.3796192609225</v>
      </c>
    </row>
    <row r="37" spans="2:4" ht="12.75">
      <c r="B37" s="129" t="s">
        <v>67</v>
      </c>
      <c r="C37" s="88">
        <f>CEILING(C36/C31,1)</f>
        <v>2</v>
      </c>
      <c r="D37" s="123">
        <f>CEILING(D36/C31,1)</f>
        <v>2</v>
      </c>
    </row>
    <row r="38" spans="2:4" ht="13.5" thickBot="1">
      <c r="B38" s="130" t="s">
        <v>81</v>
      </c>
      <c r="C38" s="157">
        <f>'Capacity Analysis'!D91/(('Capacity Analysis'!E29+Alternatives!C37)*Alternatives!C31)</f>
        <v>0.8835626703767803</v>
      </c>
      <c r="D38" s="158">
        <f>'Capacity Analysis'!D92/(('Capacity Analysis'!E33+Alternatives!D37)*Alternatives!C31)</f>
        <v>0.9560313784137973</v>
      </c>
    </row>
    <row r="39" spans="2:4" ht="13.5" thickBot="1">
      <c r="B39" s="126"/>
      <c r="C39" s="67"/>
      <c r="D39" s="67"/>
    </row>
    <row r="40" spans="2:5" ht="12.75">
      <c r="B40" s="120"/>
      <c r="C40" s="127" t="s">
        <v>72</v>
      </c>
      <c r="D40" s="127" t="s">
        <v>76</v>
      </c>
      <c r="E40" s="121" t="s">
        <v>77</v>
      </c>
    </row>
    <row r="41" spans="2:5" ht="12.75">
      <c r="B41" s="161" t="s">
        <v>108</v>
      </c>
      <c r="C41" s="159">
        <v>1</v>
      </c>
      <c r="D41" s="159">
        <v>1</v>
      </c>
      <c r="E41" s="160">
        <v>2</v>
      </c>
    </row>
    <row r="42" spans="2:5" ht="13.5" thickBot="1">
      <c r="B42" s="140" t="s">
        <v>107</v>
      </c>
      <c r="C42" s="96">
        <v>1</v>
      </c>
      <c r="D42" s="96">
        <v>1</v>
      </c>
      <c r="E42" s="125">
        <v>7</v>
      </c>
    </row>
    <row r="43" ht="13.5" thickBot="1"/>
    <row r="44" spans="2:4" ht="12.75">
      <c r="B44" s="131" t="s">
        <v>68</v>
      </c>
      <c r="C44" s="127" t="s">
        <v>19</v>
      </c>
      <c r="D44" s="121" t="s">
        <v>23</v>
      </c>
    </row>
    <row r="45" spans="2:5" ht="12.75">
      <c r="B45" s="128" t="s">
        <v>69</v>
      </c>
      <c r="C45" s="88">
        <f>C37*F5*'Capacity Analysis'!D37</f>
        <v>15000</v>
      </c>
      <c r="D45" s="123">
        <f>D37*F9*'Capacity Analysis'!H37</f>
        <v>25000</v>
      </c>
      <c r="E45" s="154" t="s">
        <v>110</v>
      </c>
    </row>
    <row r="46" spans="2:5" ht="13.5" thickBot="1">
      <c r="B46" s="130" t="s">
        <v>70</v>
      </c>
      <c r="C46" s="96">
        <f>(C41*B7+D41*B8+E41*B9)*B5*B4</f>
        <v>97350</v>
      </c>
      <c r="D46" s="125">
        <f>(C42*B7+D42*B8+E42*B9)*B5*B4</f>
        <v>225225</v>
      </c>
      <c r="E46" s="154" t="s">
        <v>110</v>
      </c>
    </row>
    <row r="47" spans="3:5" ht="13.5" thickBot="1">
      <c r="C47" s="135" t="s">
        <v>71</v>
      </c>
      <c r="D47" s="136">
        <f>SUM(C45:D46)</f>
        <v>362575</v>
      </c>
      <c r="E47" s="154" t="s">
        <v>110</v>
      </c>
    </row>
    <row r="48" ht="13.5" thickBot="1"/>
    <row r="49" ht="13.5" thickBot="1">
      <c r="A49" s="112" t="s">
        <v>78</v>
      </c>
    </row>
    <row r="50" spans="2:3" ht="13.5" thickBot="1">
      <c r="B50" s="198" t="s">
        <v>66</v>
      </c>
      <c r="C50" s="199">
        <f>B5*B6*B4*'Capacity Analysis'!D40</f>
        <v>2640</v>
      </c>
    </row>
    <row r="51" ht="13.5" thickBot="1"/>
    <row r="52" spans="2:4" ht="12.75">
      <c r="B52" s="120"/>
      <c r="C52" s="127" t="s">
        <v>19</v>
      </c>
      <c r="D52" s="121" t="s">
        <v>23</v>
      </c>
    </row>
    <row r="53" spans="2:4" ht="12.75">
      <c r="B53" s="129" t="s">
        <v>128</v>
      </c>
      <c r="C53" s="155">
        <f>C34</f>
        <v>8715.632698768199</v>
      </c>
      <c r="D53" s="156">
        <f>D34</f>
        <v>21322.379619260922</v>
      </c>
    </row>
    <row r="54" spans="2:4" ht="12.75">
      <c r="B54" s="129" t="s">
        <v>67</v>
      </c>
      <c r="C54" s="92">
        <f>CEILING(C53/C50,1)</f>
        <v>4</v>
      </c>
      <c r="D54" s="139">
        <f>CEILING(D53/C50,1)</f>
        <v>9</v>
      </c>
    </row>
    <row r="55" spans="2:4" ht="13.5" thickBot="1">
      <c r="B55" s="141" t="s">
        <v>81</v>
      </c>
      <c r="C55" s="157">
        <f>'Capacity Analysis'!D91/(('Capacity Analysis'!E29+C54)*C50)</f>
        <v>0.8835626703767803</v>
      </c>
      <c r="D55" s="158">
        <f>'Capacity Analysis'!D92/(('Capacity Analysis'!E33+D54)*C50)</f>
        <v>0.9560313784137973</v>
      </c>
    </row>
    <row r="56" ht="13.5" thickBot="1"/>
    <row r="57" spans="2:4" ht="12.75">
      <c r="B57" s="120"/>
      <c r="C57" s="127" t="s">
        <v>72</v>
      </c>
      <c r="D57" s="121" t="s">
        <v>76</v>
      </c>
    </row>
    <row r="58" spans="2:4" ht="12.75">
      <c r="B58" s="161" t="s">
        <v>108</v>
      </c>
      <c r="C58" s="159">
        <v>2</v>
      </c>
      <c r="D58" s="160">
        <v>2</v>
      </c>
    </row>
    <row r="59" spans="2:4" ht="13.5" thickBot="1">
      <c r="B59" s="140" t="s">
        <v>107</v>
      </c>
      <c r="C59" s="96">
        <v>5</v>
      </c>
      <c r="D59" s="125">
        <v>5</v>
      </c>
    </row>
    <row r="60" ht="13.5" thickBot="1"/>
    <row r="61" spans="2:4" ht="12.75">
      <c r="B61" s="131" t="s">
        <v>68</v>
      </c>
      <c r="C61" s="127" t="s">
        <v>19</v>
      </c>
      <c r="D61" s="121" t="s">
        <v>23</v>
      </c>
    </row>
    <row r="62" spans="2:5" ht="12.75">
      <c r="B62" s="128" t="s">
        <v>69</v>
      </c>
      <c r="C62" s="88">
        <f>C54*F5*'Capacity Analysis'!D37</f>
        <v>30000</v>
      </c>
      <c r="D62" s="123">
        <f>D54*F9*'Capacity Analysis'!H37</f>
        <v>112500</v>
      </c>
      <c r="E62" s="154" t="s">
        <v>110</v>
      </c>
    </row>
    <row r="63" spans="2:5" ht="13.5" thickBot="1">
      <c r="B63" s="130" t="s">
        <v>70</v>
      </c>
      <c r="C63" s="96">
        <f>(C58*B7+D58*B8)*B5*B4</f>
        <v>92400</v>
      </c>
      <c r="D63" s="125">
        <f>(C59*B7+D59*B8)*B5*B4</f>
        <v>231000</v>
      </c>
      <c r="E63" s="154" t="s">
        <v>110</v>
      </c>
    </row>
    <row r="64" spans="3:5" ht="13.5" thickBot="1">
      <c r="C64" s="135" t="s">
        <v>71</v>
      </c>
      <c r="D64" s="136">
        <f>SUM(C62:D63)</f>
        <v>465900</v>
      </c>
      <c r="E64" s="154" t="s">
        <v>110</v>
      </c>
    </row>
    <row r="65" ht="13.5" thickBot="1"/>
    <row r="66" ht="13.5" thickBot="1">
      <c r="A66" s="112" t="s">
        <v>85</v>
      </c>
    </row>
    <row r="67" spans="1:4" s="175" customFormat="1" ht="12.75">
      <c r="A67" s="174"/>
      <c r="B67" s="180"/>
      <c r="C67" s="168" t="s">
        <v>19</v>
      </c>
      <c r="D67" s="169" t="s">
        <v>23</v>
      </c>
    </row>
    <row r="68" spans="1:5" s="175" customFormat="1" ht="12.75">
      <c r="A68" s="174"/>
      <c r="B68" s="129" t="s">
        <v>129</v>
      </c>
      <c r="C68" s="177">
        <f>'Capacity Analysis'!D91</f>
        <v>13995.632698768199</v>
      </c>
      <c r="D68" s="181">
        <f>'Capacity Analysis'!D92</f>
        <v>53002.37961926092</v>
      </c>
      <c r="E68" s="176" t="s">
        <v>64</v>
      </c>
    </row>
    <row r="69" spans="1:5" s="175" customFormat="1" ht="12.75">
      <c r="A69" s="174"/>
      <c r="B69" s="129" t="s">
        <v>122</v>
      </c>
      <c r="C69" s="178">
        <f>($B$5*$B$4*$B$6+$C$21)*'Capacity Analysis'!$D$40</f>
        <v>3273.6000000000004</v>
      </c>
      <c r="D69" s="182">
        <f>C69</f>
        <v>3273.6000000000004</v>
      </c>
      <c r="E69" s="176" t="s">
        <v>64</v>
      </c>
    </row>
    <row r="70" spans="1:4" s="175" customFormat="1" ht="12.75">
      <c r="A70" s="174"/>
      <c r="B70" s="129" t="s">
        <v>123</v>
      </c>
      <c r="C70" s="177">
        <f>CEILING(C68/C69,1)</f>
        <v>5</v>
      </c>
      <c r="D70" s="181">
        <f>CEILING(D68/D69,1)</f>
        <v>17</v>
      </c>
    </row>
    <row r="71" spans="1:4" s="175" customFormat="1" ht="12.75">
      <c r="A71" s="174"/>
      <c r="B71" s="129" t="s">
        <v>124</v>
      </c>
      <c r="C71" s="179">
        <f>'Capacity Analysis'!E29</f>
        <v>2</v>
      </c>
      <c r="D71" s="183">
        <f>'Capacity Analysis'!E33</f>
        <v>12</v>
      </c>
    </row>
    <row r="72" spans="1:4" s="175" customFormat="1" ht="13.5" thickBot="1">
      <c r="A72" s="174"/>
      <c r="B72" s="130" t="s">
        <v>125</v>
      </c>
      <c r="C72" s="184">
        <f>C70-C71</f>
        <v>3</v>
      </c>
      <c r="D72" s="185">
        <f>D70-D71</f>
        <v>5</v>
      </c>
    </row>
    <row r="73" s="175" customFormat="1" ht="12.75">
      <c r="A73" s="174"/>
    </row>
    <row r="74" ht="13.5" thickBot="1"/>
    <row r="75" spans="2:5" ht="12.75">
      <c r="B75" s="120"/>
      <c r="C75" s="127" t="s">
        <v>72</v>
      </c>
      <c r="D75" s="127" t="s">
        <v>76</v>
      </c>
      <c r="E75" s="121" t="s">
        <v>88</v>
      </c>
    </row>
    <row r="76" spans="2:5" ht="12.75">
      <c r="B76" s="161" t="s">
        <v>108</v>
      </c>
      <c r="C76" s="159">
        <v>2</v>
      </c>
      <c r="D76" s="159">
        <v>2</v>
      </c>
      <c r="E76" s="160">
        <v>3</v>
      </c>
    </row>
    <row r="77" spans="2:5" ht="13.5" thickBot="1">
      <c r="B77" s="140" t="s">
        <v>107</v>
      </c>
      <c r="C77" s="96">
        <v>3</v>
      </c>
      <c r="D77" s="96">
        <v>3</v>
      </c>
      <c r="E77" s="125">
        <v>9</v>
      </c>
    </row>
    <row r="78" ht="13.5" thickBot="1"/>
    <row r="79" spans="2:4" ht="12.75">
      <c r="B79" s="131" t="s">
        <v>68</v>
      </c>
      <c r="C79" s="127" t="s">
        <v>19</v>
      </c>
      <c r="D79" s="121" t="s">
        <v>23</v>
      </c>
    </row>
    <row r="80" spans="2:5" ht="12.75">
      <c r="B80" s="128" t="s">
        <v>69</v>
      </c>
      <c r="C80" s="88">
        <f>C72*F5*'Capacity Analysis'!D37</f>
        <v>22500</v>
      </c>
      <c r="D80" s="123">
        <f>D72*F9*'Capacity Analysis'!H37</f>
        <v>62500</v>
      </c>
      <c r="E80" s="154" t="s">
        <v>110</v>
      </c>
    </row>
    <row r="81" spans="2:5" ht="12.75">
      <c r="B81" s="143" t="s">
        <v>70</v>
      </c>
      <c r="C81" s="92">
        <f>(C76*B7+D76*B8)*B5*B4</f>
        <v>92400</v>
      </c>
      <c r="D81" s="139">
        <f>(C77*B7+D77*B8)*B5*B4</f>
        <v>138600</v>
      </c>
      <c r="E81" s="154" t="s">
        <v>110</v>
      </c>
    </row>
    <row r="82" spans="2:5" ht="13.5" thickBot="1">
      <c r="B82" s="130" t="s">
        <v>87</v>
      </c>
      <c r="C82" s="96">
        <f>E76*B10*C21</f>
        <v>49896</v>
      </c>
      <c r="D82" s="125">
        <f>E77*B10*C21</f>
        <v>149688</v>
      </c>
      <c r="E82" s="154" t="s">
        <v>110</v>
      </c>
    </row>
    <row r="83" spans="3:5" ht="13.5" thickBot="1">
      <c r="C83" s="135" t="s">
        <v>71</v>
      </c>
      <c r="D83" s="136">
        <f>SUM(C80:D82)</f>
        <v>515584</v>
      </c>
      <c r="E83" s="154" t="s">
        <v>110</v>
      </c>
    </row>
    <row r="84" ht="13.5" thickBot="1"/>
    <row r="85" ht="13.5" thickBot="1">
      <c r="A85" s="112" t="s">
        <v>98</v>
      </c>
    </row>
    <row r="86" s="175" customFormat="1" ht="13.5" thickBot="1">
      <c r="A86" s="174"/>
    </row>
    <row r="87" spans="1:4" s="175" customFormat="1" ht="12.75">
      <c r="A87" s="174"/>
      <c r="B87" s="180"/>
      <c r="C87" s="168" t="s">
        <v>19</v>
      </c>
      <c r="D87" s="169" t="s">
        <v>23</v>
      </c>
    </row>
    <row r="88" spans="1:5" s="175" customFormat="1" ht="12.75">
      <c r="A88" s="174"/>
      <c r="B88" s="129" t="s">
        <v>129</v>
      </c>
      <c r="C88" s="177">
        <f>'Capacity Analysis'!D91</f>
        <v>13995.632698768199</v>
      </c>
      <c r="D88" s="181">
        <f>'Capacity Analysis'!D92</f>
        <v>53002.37961926092</v>
      </c>
      <c r="E88" s="176" t="s">
        <v>64</v>
      </c>
    </row>
    <row r="89" spans="1:5" s="175" customFormat="1" ht="12.75">
      <c r="A89" s="174"/>
      <c r="B89" s="129" t="s">
        <v>122</v>
      </c>
      <c r="C89" s="178">
        <f>(3*Alternatives!B5*Alternatives!B4+B4/5*A14)*'Capacity Analysis'!D40</f>
        <v>4241.6</v>
      </c>
      <c r="D89" s="182">
        <f>C89</f>
        <v>4241.6</v>
      </c>
      <c r="E89" s="176" t="s">
        <v>64</v>
      </c>
    </row>
    <row r="90" spans="1:4" s="175" customFormat="1" ht="12.75">
      <c r="A90" s="174"/>
      <c r="B90" s="129" t="s">
        <v>123</v>
      </c>
      <c r="C90" s="177">
        <f>CEILING(C88/C89,1)</f>
        <v>4</v>
      </c>
      <c r="D90" s="181">
        <f>CEILING(D88/D89,1)</f>
        <v>13</v>
      </c>
    </row>
    <row r="91" spans="1:4" s="175" customFormat="1" ht="12.75">
      <c r="A91" s="174"/>
      <c r="B91" s="129" t="s">
        <v>124</v>
      </c>
      <c r="C91" s="179">
        <f>'Capacity Analysis'!E29</f>
        <v>2</v>
      </c>
      <c r="D91" s="183">
        <f>'Capacity Analysis'!E33</f>
        <v>12</v>
      </c>
    </row>
    <row r="92" spans="1:4" s="175" customFormat="1" ht="13.5" thickBot="1">
      <c r="A92" s="174"/>
      <c r="B92" s="130" t="s">
        <v>125</v>
      </c>
      <c r="C92" s="184">
        <f>C90-C91</f>
        <v>2</v>
      </c>
      <c r="D92" s="185">
        <f>D90-D91</f>
        <v>1</v>
      </c>
    </row>
    <row r="93" ht="13.5" thickBot="1"/>
    <row r="94" spans="2:9" ht="12.75">
      <c r="B94" s="120"/>
      <c r="C94" s="127" t="s">
        <v>72</v>
      </c>
      <c r="D94" s="127" t="s">
        <v>76</v>
      </c>
      <c r="E94" s="127" t="s">
        <v>77</v>
      </c>
      <c r="F94" s="121" t="s">
        <v>88</v>
      </c>
      <c r="I94" s="119" t="s">
        <v>104</v>
      </c>
    </row>
    <row r="95" spans="2:9" ht="12.75">
      <c r="B95" s="161" t="s">
        <v>108</v>
      </c>
      <c r="C95" s="159">
        <v>1</v>
      </c>
      <c r="D95" s="159">
        <v>1</v>
      </c>
      <c r="E95" s="159">
        <v>2</v>
      </c>
      <c r="F95" s="160">
        <v>2</v>
      </c>
      <c r="I95" s="88">
        <v>3</v>
      </c>
    </row>
    <row r="96" spans="2:6" ht="13.5" thickBot="1">
      <c r="B96" s="140" t="s">
        <v>107</v>
      </c>
      <c r="C96" s="96">
        <v>1</v>
      </c>
      <c r="D96" s="96">
        <v>1</v>
      </c>
      <c r="E96" s="96">
        <v>7</v>
      </c>
      <c r="F96" s="125">
        <v>7</v>
      </c>
    </row>
    <row r="97" ht="13.5" thickBot="1"/>
    <row r="98" spans="2:4" ht="12.75">
      <c r="B98" s="131" t="s">
        <v>68</v>
      </c>
      <c r="C98" s="127" t="s">
        <v>19</v>
      </c>
      <c r="D98" s="121" t="s">
        <v>23</v>
      </c>
    </row>
    <row r="99" spans="2:5" ht="12.75">
      <c r="B99" s="128" t="s">
        <v>69</v>
      </c>
      <c r="C99" s="88">
        <f>C92*F5*'Capacity Analysis'!D37</f>
        <v>15000</v>
      </c>
      <c r="D99" s="123">
        <f>D92*F9*'Capacity Analysis'!H37</f>
        <v>12500</v>
      </c>
      <c r="E99" s="154" t="s">
        <v>110</v>
      </c>
    </row>
    <row r="100" spans="2:5" ht="12.75">
      <c r="B100" s="143" t="s">
        <v>70</v>
      </c>
      <c r="C100" s="92">
        <f>(C95*B7+D95*B8+E95*B9)*B4*B5</f>
        <v>97350</v>
      </c>
      <c r="D100" s="139">
        <f>(C96*B7+D96*B8+E96*B9)*B5*B4</f>
        <v>225225</v>
      </c>
      <c r="E100" s="154" t="s">
        <v>110</v>
      </c>
    </row>
    <row r="101" spans="2:5" ht="13.5" thickBot="1">
      <c r="B101" s="130" t="s">
        <v>87</v>
      </c>
      <c r="C101" s="96">
        <f>F95*B4/5*A14*B10</f>
        <v>14784</v>
      </c>
      <c r="D101" s="125">
        <f>F96*B4/5*A14*B10</f>
        <v>51744</v>
      </c>
      <c r="E101" s="154" t="s">
        <v>110</v>
      </c>
    </row>
    <row r="102" spans="3:5" ht="13.5" thickBot="1">
      <c r="C102" s="135" t="s">
        <v>71</v>
      </c>
      <c r="D102" s="136">
        <f>SUM(C99:D101)</f>
        <v>416603</v>
      </c>
      <c r="E102" s="154" t="s">
        <v>110</v>
      </c>
    </row>
    <row r="104" ht="13.5" thickBot="1"/>
    <row r="105" ht="13.5" thickBot="1">
      <c r="A105" s="112" t="s">
        <v>89</v>
      </c>
    </row>
    <row r="106" spans="2:8" ht="12.75">
      <c r="B106" s="142" t="s">
        <v>91</v>
      </c>
      <c r="C106" s="170" t="s">
        <v>90</v>
      </c>
      <c r="D106" s="127" t="s">
        <v>92</v>
      </c>
      <c r="E106" s="168" t="s">
        <v>126</v>
      </c>
      <c r="F106" s="168" t="s">
        <v>127</v>
      </c>
      <c r="G106" s="168" t="s">
        <v>119</v>
      </c>
      <c r="H106" s="169" t="s">
        <v>120</v>
      </c>
    </row>
    <row r="107" spans="2:8" ht="12.75">
      <c r="B107" s="128" t="s">
        <v>88</v>
      </c>
      <c r="C107" s="171" t="s">
        <v>93</v>
      </c>
      <c r="D107" s="119" t="s">
        <v>115</v>
      </c>
      <c r="E107" s="119">
        <f>'Capacity Analysis'!E29</f>
        <v>2</v>
      </c>
      <c r="F107" s="119">
        <f>'Capacity Analysis'!E33</f>
        <v>12</v>
      </c>
      <c r="G107" s="119">
        <f>C22+C23</f>
        <v>8870.400000000001</v>
      </c>
      <c r="H107" s="123">
        <v>0</v>
      </c>
    </row>
    <row r="108" spans="2:8" ht="12.75">
      <c r="B108" s="128" t="s">
        <v>77</v>
      </c>
      <c r="C108" s="171" t="s">
        <v>94</v>
      </c>
      <c r="D108" s="119" t="s">
        <v>115</v>
      </c>
      <c r="E108" s="119">
        <f>'Capacity Analysis'!E29</f>
        <v>2</v>
      </c>
      <c r="F108" s="119">
        <f>'Capacity Analysis'!E33</f>
        <v>12</v>
      </c>
      <c r="G108" s="119">
        <v>0</v>
      </c>
      <c r="H108" s="123">
        <f>C27+C28</f>
        <v>18480</v>
      </c>
    </row>
    <row r="109" spans="2:9" ht="12.75">
      <c r="B109" s="165" t="s">
        <v>111</v>
      </c>
      <c r="C109" s="172" t="s">
        <v>80</v>
      </c>
      <c r="D109" s="167">
        <f>D47</f>
        <v>362575</v>
      </c>
      <c r="E109" s="167">
        <f>'Capacity Analysis'!E29+C37</f>
        <v>4</v>
      </c>
      <c r="F109" s="167">
        <f>'Capacity Analysis'!E33+Alternatives!D37</f>
        <v>14</v>
      </c>
      <c r="G109" s="167">
        <v>0</v>
      </c>
      <c r="H109" s="166">
        <f>B4*B5*('Capacity Analysis'!E29+'Capacity Analysis'!E33+C37+D37)</f>
        <v>29700</v>
      </c>
      <c r="I109" s="153" t="s">
        <v>116</v>
      </c>
    </row>
    <row r="110" spans="2:8" ht="12.75">
      <c r="B110" s="128" t="s">
        <v>112</v>
      </c>
      <c r="C110" s="171" t="s">
        <v>95</v>
      </c>
      <c r="D110" s="88">
        <f>D64</f>
        <v>465900</v>
      </c>
      <c r="E110" s="88">
        <f>'Capacity Analysis'!E29+Alternatives!C54</f>
        <v>6</v>
      </c>
      <c r="F110" s="88">
        <f>'Capacity Analysis'!E33+Alternatives!D54</f>
        <v>21</v>
      </c>
      <c r="G110" s="88">
        <v>0</v>
      </c>
      <c r="H110" s="123">
        <v>0</v>
      </c>
    </row>
    <row r="111" spans="2:8" ht="12.75">
      <c r="B111" s="128" t="s">
        <v>113</v>
      </c>
      <c r="C111" s="171" t="s">
        <v>96</v>
      </c>
      <c r="D111" s="88">
        <f>D83</f>
        <v>515584</v>
      </c>
      <c r="E111" s="155">
        <f>C70</f>
        <v>5</v>
      </c>
      <c r="F111" s="155">
        <f>D70</f>
        <v>17</v>
      </c>
      <c r="G111" s="88">
        <f>(C22+C23)*(C70+D70)</f>
        <v>195148.80000000005</v>
      </c>
      <c r="H111" s="123">
        <v>0</v>
      </c>
    </row>
    <row r="112" spans="2:8" ht="13.5" thickBot="1">
      <c r="B112" s="140" t="s">
        <v>114</v>
      </c>
      <c r="C112" s="173" t="s">
        <v>97</v>
      </c>
      <c r="D112" s="96">
        <f>D102</f>
        <v>416603</v>
      </c>
      <c r="E112" s="186">
        <f>C90</f>
        <v>4</v>
      </c>
      <c r="F112" s="186">
        <f>D90</f>
        <v>13</v>
      </c>
      <c r="G112" s="96">
        <f>(B4/5*B5)*(C90+D90)</f>
        <v>5610</v>
      </c>
      <c r="H112" s="125">
        <f>B4*B5*(C90+D90)</f>
        <v>28050</v>
      </c>
    </row>
  </sheetData>
  <sheetProtection/>
  <mergeCells count="3">
    <mergeCell ref="A12:B12"/>
    <mergeCell ref="A2:N2"/>
    <mergeCell ref="A17:N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Politecnico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Giacomo Tavola</dc:creator>
  <cp:keywords/>
  <dc:description/>
  <cp:lastModifiedBy>laura Cattaneo</cp:lastModifiedBy>
  <cp:lastPrinted>2011-02-22T10:16:44Z</cp:lastPrinted>
  <dcterms:created xsi:type="dcterms:W3CDTF">1997-03-19T11:24:29Z</dcterms:created>
  <dcterms:modified xsi:type="dcterms:W3CDTF">2018-04-05T08:10:32Z</dcterms:modified>
  <cp:category/>
  <cp:version/>
  <cp:contentType/>
  <cp:contentStatus/>
</cp:coreProperties>
</file>