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OneDrive - UNIVERSITA' CARLO CATTANEO - LIUC\DidatticaLIUC\EOA\2018-2019\"/>
    </mc:Choice>
  </mc:AlternateContent>
  <bookViews>
    <workbookView xWindow="270" yWindow="560" windowWidth="16940" windowHeight="7370" activeTab="4"/>
  </bookViews>
  <sheets>
    <sheet name="Foglio1" sheetId="1" r:id="rId1"/>
    <sheet name="Foglio4" sheetId="2" r:id="rId2"/>
    <sheet name="Foglio2" sheetId="3" r:id="rId3"/>
    <sheet name="Foglio3" sheetId="4" r:id="rId4"/>
    <sheet name="Foglio5" sheetId="5" r:id="rId5"/>
  </sheets>
  <calcPr calcId="162913"/>
</workbook>
</file>

<file path=xl/calcChain.xml><?xml version="1.0" encoding="utf-8"?>
<calcChain xmlns="http://schemas.openxmlformats.org/spreadsheetml/2006/main">
  <c r="C14" i="5" l="1"/>
  <c r="C18" i="5" s="1"/>
  <c r="B12" i="5"/>
  <c r="B15" i="5"/>
  <c r="B13" i="5"/>
  <c r="B7" i="5" l="1"/>
  <c r="B11" i="5"/>
  <c r="B10" i="5"/>
  <c r="B9" i="5"/>
  <c r="B8" i="5"/>
  <c r="B6" i="5"/>
  <c r="B4" i="5"/>
  <c r="B3" i="5"/>
  <c r="C5" i="5" s="1"/>
  <c r="B24" i="4" l="1"/>
  <c r="B25" i="4" s="1"/>
  <c r="H30" i="4"/>
  <c r="B35" i="4"/>
  <c r="B36" i="4"/>
  <c r="K50" i="4"/>
  <c r="B16" i="4"/>
  <c r="B15" i="4"/>
  <c r="K44" i="4" s="1"/>
  <c r="H13" i="4"/>
  <c r="H8" i="4"/>
  <c r="H6" i="4"/>
  <c r="H5" i="4"/>
  <c r="F35" i="3"/>
  <c r="H35" i="3"/>
  <c r="A31" i="3" s="1"/>
  <c r="C30" i="3" s="1"/>
  <c r="B27" i="4" s="1"/>
  <c r="W19" i="3"/>
  <c r="K19" i="3"/>
  <c r="C19" i="3"/>
  <c r="H13" i="3"/>
  <c r="F14" i="3"/>
  <c r="H10" i="4"/>
  <c r="A13" i="3"/>
  <c r="H33" i="4" s="1"/>
  <c r="AB15" i="2"/>
  <c r="AA15" i="2"/>
  <c r="AB13" i="2"/>
  <c r="AA13" i="2"/>
  <c r="AB11" i="2"/>
  <c r="AA11" i="2"/>
  <c r="AB9" i="2"/>
  <c r="AA9" i="2"/>
  <c r="L9" i="2"/>
  <c r="K9" i="2"/>
  <c r="AB7" i="2"/>
  <c r="AA7" i="2"/>
  <c r="L7" i="2"/>
  <c r="K7" i="2"/>
  <c r="AB5" i="2"/>
  <c r="AA5" i="2"/>
  <c r="L5" i="2"/>
  <c r="K5" i="2"/>
  <c r="AB3" i="2"/>
  <c r="AA3" i="2"/>
  <c r="L3" i="2"/>
  <c r="K3" i="2"/>
  <c r="C35" i="3"/>
  <c r="B30" i="4" s="1"/>
  <c r="A35" i="3"/>
  <c r="W30" i="3"/>
  <c r="B29" i="4" s="1"/>
  <c r="K49" i="4" s="1"/>
  <c r="K30" i="3"/>
  <c r="B28" i="4" s="1"/>
  <c r="F30" i="3"/>
  <c r="R25" i="3"/>
  <c r="B17" i="4"/>
  <c r="K47" i="4" s="1"/>
  <c r="K25" i="3"/>
  <c r="H16" i="4" s="1"/>
  <c r="K48" i="4" s="1"/>
  <c r="F25" i="3"/>
  <c r="B9" i="4"/>
  <c r="B10" i="4"/>
  <c r="C25" i="3"/>
  <c r="A25" i="3" s="1"/>
  <c r="B6" i="4" s="1"/>
  <c r="B7" i="4" s="1"/>
  <c r="W20" i="3"/>
  <c r="K51" i="4" s="1"/>
  <c r="R19" i="3"/>
  <c r="K20" i="3" s="1"/>
  <c r="M19" i="3" s="1"/>
  <c r="B14" i="4" s="1"/>
  <c r="K43" i="4" s="1"/>
  <c r="F19" i="3"/>
  <c r="C20" i="3"/>
  <c r="A19" i="3" s="1"/>
  <c r="H14" i="4" s="1"/>
  <c r="K45" i="4" s="1"/>
  <c r="C14" i="3"/>
  <c r="E137" i="1"/>
  <c r="D137" i="1"/>
  <c r="N134" i="1"/>
  <c r="M134" i="1"/>
  <c r="E134" i="1"/>
  <c r="D134" i="1"/>
  <c r="N133" i="1"/>
  <c r="M133" i="1"/>
  <c r="E132" i="1"/>
  <c r="D132" i="1"/>
  <c r="E128" i="1"/>
  <c r="D128" i="1"/>
  <c r="E126" i="1"/>
  <c r="D126" i="1"/>
  <c r="E122" i="1"/>
  <c r="D122" i="1"/>
  <c r="F117" i="1"/>
  <c r="E117" i="1"/>
  <c r="F113" i="1"/>
  <c r="E113" i="1"/>
  <c r="I99" i="1"/>
  <c r="F98" i="1"/>
  <c r="F104" i="1" s="1"/>
  <c r="E98" i="1"/>
  <c r="F96" i="1"/>
  <c r="E96" i="1"/>
  <c r="F92" i="1"/>
  <c r="E92" i="1"/>
  <c r="F87" i="1"/>
  <c r="F102" i="1" s="1"/>
  <c r="E87" i="1"/>
  <c r="E104" i="1" s="1"/>
  <c r="F81" i="1"/>
  <c r="F103" i="1" s="1"/>
  <c r="E81" i="1"/>
  <c r="E103" i="1" s="1"/>
  <c r="K76" i="1"/>
  <c r="F76" i="1"/>
  <c r="E76" i="1"/>
  <c r="F72" i="1"/>
  <c r="E72" i="1"/>
  <c r="F70" i="1"/>
  <c r="E70" i="1"/>
  <c r="F68" i="1"/>
  <c r="E68" i="1"/>
  <c r="F63" i="1"/>
  <c r="E63" i="1"/>
  <c r="F61" i="1"/>
  <c r="E61" i="1"/>
  <c r="F58" i="1"/>
  <c r="E58" i="1"/>
  <c r="F56" i="1"/>
  <c r="E56" i="1"/>
  <c r="F52" i="1"/>
  <c r="E52" i="1"/>
  <c r="F50" i="1"/>
  <c r="E50" i="1"/>
  <c r="F48" i="1"/>
  <c r="E48" i="1"/>
  <c r="F46" i="1"/>
  <c r="F54" i="1" s="1"/>
  <c r="E46" i="1"/>
  <c r="E54" i="1"/>
  <c r="F44" i="1"/>
  <c r="E44" i="1"/>
  <c r="F42" i="1"/>
  <c r="E42" i="1"/>
  <c r="E102" i="1"/>
  <c r="B31" i="4" l="1"/>
  <c r="B32" i="4"/>
  <c r="B37" i="4" s="1"/>
  <c r="B42" i="4" s="1"/>
  <c r="B44" i="4" s="1"/>
  <c r="H7" i="4" s="1"/>
  <c r="H17" i="4" s="1"/>
  <c r="U19" i="3"/>
  <c r="H11" i="4" s="1"/>
  <c r="C13" i="3"/>
  <c r="P19" i="3"/>
  <c r="H15" i="4" s="1"/>
  <c r="K46" i="4" s="1"/>
  <c r="M30" i="3"/>
  <c r="H24" i="4" l="1"/>
  <c r="H27" i="4" s="1"/>
  <c r="A15" i="3"/>
  <c r="K42" i="4" l="1"/>
  <c r="K52" i="4" s="1"/>
  <c r="H35" i="4"/>
  <c r="B18" i="4" s="1"/>
  <c r="B19" i="4" s="1"/>
</calcChain>
</file>

<file path=xl/sharedStrings.xml><?xml version="1.0" encoding="utf-8"?>
<sst xmlns="http://schemas.openxmlformats.org/spreadsheetml/2006/main" count="329" uniqueCount="235">
  <si>
    <t>ANALISI DI REDDITIVITA'</t>
  </si>
  <si>
    <t>STATO PATRIMONIALE</t>
  </si>
  <si>
    <t>ATTIVITA'</t>
  </si>
  <si>
    <t>PASSIVITA' E CAPITALE NETTO</t>
  </si>
  <si>
    <t>dati in euro/000</t>
  </si>
  <si>
    <t>attività immateriali</t>
  </si>
  <si>
    <t>capitale sociale</t>
  </si>
  <si>
    <t>attività materiali</t>
  </si>
  <si>
    <t>riserve</t>
  </si>
  <si>
    <t>Partecipazioni</t>
  </si>
  <si>
    <t>utile d'esercizio</t>
  </si>
  <si>
    <t>rimanenze materie prime</t>
  </si>
  <si>
    <t>debiti finanziari di lungo termine</t>
  </si>
  <si>
    <t>crediti commerciali</t>
  </si>
  <si>
    <t>TFR</t>
  </si>
  <si>
    <t>attività finanziarie a breve termine</t>
  </si>
  <si>
    <t>debiti finanziari di breve termine</t>
  </si>
  <si>
    <t>denaro e valori in cassa</t>
  </si>
  <si>
    <t>debiti commerciali</t>
  </si>
  <si>
    <t>Totale</t>
  </si>
  <si>
    <t>CONTO ECONOMICO</t>
  </si>
  <si>
    <t>Valore della produzione</t>
  </si>
  <si>
    <t>Ricavi</t>
  </si>
  <si>
    <t>Totale valore della produzione</t>
  </si>
  <si>
    <t>Costi di produzione</t>
  </si>
  <si>
    <t>Consumi di materie prime</t>
  </si>
  <si>
    <t>Servizi</t>
  </si>
  <si>
    <t>Personale</t>
  </si>
  <si>
    <t>Ammortamenti</t>
  </si>
  <si>
    <t>Totale costi di produzione</t>
  </si>
  <si>
    <t>Margine operativo netto</t>
  </si>
  <si>
    <t>Proventi e oneri finanziari</t>
  </si>
  <si>
    <t>Proventi finanziari</t>
  </si>
  <si>
    <t>Oneri finanziari</t>
  </si>
  <si>
    <t>Totale proventi e oneri finanziari</t>
  </si>
  <si>
    <t>Utile da attività in funzionamento</t>
  </si>
  <si>
    <t>Proventi e oneri straordinari</t>
  </si>
  <si>
    <t>Proventi</t>
  </si>
  <si>
    <t>Oneri</t>
  </si>
  <si>
    <t>Totale proventi e oneri straordinari</t>
  </si>
  <si>
    <t>Utile ante imposte</t>
  </si>
  <si>
    <t>Imposte</t>
  </si>
  <si>
    <t>Utile d'esercizio</t>
  </si>
  <si>
    <t>ROE</t>
  </si>
  <si>
    <t>UTILE/PATRIMONIO NETTO</t>
  </si>
  <si>
    <t>ROI</t>
  </si>
  <si>
    <t>MON/A</t>
  </si>
  <si>
    <t>r</t>
  </si>
  <si>
    <t>ONERI/D</t>
  </si>
  <si>
    <t>s</t>
  </si>
  <si>
    <t>UTILE NETTO/UTILE LORDO ATT. IN FUNZ</t>
  </si>
  <si>
    <t>LEVA</t>
  </si>
  <si>
    <t>D/E</t>
  </si>
  <si>
    <t>ROI*</t>
  </si>
  <si>
    <t>(MON+PF)/A</t>
  </si>
  <si>
    <t>(ROI+(ROI-r)*D/E)*s</t>
  </si>
  <si>
    <t>ROS</t>
  </si>
  <si>
    <t>MON/V.d.P.</t>
  </si>
  <si>
    <t>ROT</t>
  </si>
  <si>
    <t>V.d.P./A</t>
  </si>
  <si>
    <t>V.A.L./V.d.P</t>
  </si>
  <si>
    <t>Ammortamento/V.d.P.</t>
  </si>
  <si>
    <t>V.d.P/Scorte</t>
  </si>
  <si>
    <t>V.d.P/Immobilizzazioni</t>
  </si>
  <si>
    <t>Crediti*360/V.d.P.</t>
  </si>
  <si>
    <t>Posso affermare che c'è stata un espansione del ROE di 11 punti percentuali</t>
  </si>
  <si>
    <t>C'è stata sicuramente un'espansione dell'utile dipù che proporzionale rispetto all'aumento di patrimonio netto</t>
  </si>
  <si>
    <t>Ora analizziamo le gestioni che hanno maggiormente influenzato questo aumento del 35,5% del ROE</t>
  </si>
  <si>
    <t xml:space="preserve">La gestione operativa è sicuramente stata una delle cause determinanti della notevole crescita del ROE </t>
  </si>
  <si>
    <t xml:space="preserve">Come affermato al punto 5, questo miglioramento è dovuto sia alla politica di espansione sia </t>
  </si>
  <si>
    <t xml:space="preserve">a quella di razionalizzazione. L'aumento del Margine Operativo Netto è stato più che proporzionale </t>
  </si>
  <si>
    <t>agli investimenti riportati al punto 1</t>
  </si>
  <si>
    <t xml:space="preserve">La gestione finanziaria nel 2010 è stata sicuramente positiva, ha infatti portato a diminuire </t>
  </si>
  <si>
    <t xml:space="preserve">considerevolemente il peso degli oneri rispetto ai mezzi terzi. Da sottolineare quanto riportato al punto 7, </t>
  </si>
  <si>
    <t>dove viene sottolineato il contenimento degli oneri finanziari</t>
  </si>
  <si>
    <t>L'attività straordinaria, invece è stata migliore nel 2009, portandomi ad avere un miglioramneto dell'utile</t>
  </si>
  <si>
    <t>In quest'anno infatti ho dei proventi straordinari (non realizzabili nel 2010) grazie ad una sede che dismetto</t>
  </si>
  <si>
    <t>in cindizioni di convenienza economica, come affermato al punto 6</t>
  </si>
  <si>
    <t xml:space="preserve">Vi è una notevole differenza tra il ROI ed il ROI*, ciò significa che i proventi finaziari sono stati molto </t>
  </si>
  <si>
    <t>rilevanti. Soprattutto nel 2009 sono determinanti affinchè il valore della leva agisca positivamente, infatti</t>
  </si>
  <si>
    <t>partendo da questa formula</t>
  </si>
  <si>
    <t>(ROI*+(ROI*-r)*D/E)*s</t>
  </si>
  <si>
    <t>Se facessi (ROI-r)*D/E avrei</t>
  </si>
  <si>
    <t xml:space="preserve">che per il 2009 sarebbe addiritura negativo, invece facendo (ROI*-r)*D/E ho </t>
  </si>
  <si>
    <t>e quindi la leva agisce positivamente in entrambi i casi, ed essendo maggiore nel 2009, vuol dire</t>
  </si>
  <si>
    <t>che ho un miglior rapporto tra capitale terzi e capitale proprio.</t>
  </si>
  <si>
    <t xml:space="preserve">I proventi finanziari elevati del 2010 sono sicuramente attribuibili a quanto riportato nella nota 4, che </t>
  </si>
  <si>
    <t>sottolinea il fatto che ci siano stati degli investimenti in attività finanziarie con le liquidità del 2009</t>
  </si>
  <si>
    <t>Inoltre anche per quanto riportato nella nota 2 vi potrebbero essere dei proventi anche legati alle</t>
  </si>
  <si>
    <t>Per spiegare l'andamento del ROI scendo nel dettaglio con l'analisi di quarto livello</t>
  </si>
  <si>
    <t>Posso sicuramente affermare che il miglioramento reddituale del 2012 è per larga parte dovuto ad</t>
  </si>
  <si>
    <t>una diminuzione dei costi, infatti anche la nota 3 mi conferma che c'è stata una migliore gestione negli</t>
  </si>
  <si>
    <t xml:space="preserve"> acquisti a fronte di una notevoleaumento del valore della produzione</t>
  </si>
  <si>
    <t>Nei due anni il ROT si mantiene pressochè costante, è importante però sottolineare che nel 2010 ho avuto</t>
  </si>
  <si>
    <t>un aumento proporzionale tra Valore della Produzione ed aumento delle Attività</t>
  </si>
  <si>
    <t>Analisi di quarto livello per il ROS</t>
  </si>
  <si>
    <t>Dal calcolo di questo indice si può vedere come nel 2010 l'impresa riesca ad aggiungere maggiormente</t>
  </si>
  <si>
    <t xml:space="preserve"> valore ai prodotti, importante in questo è sicuramente la gestione degli acquisci di materie prime</t>
  </si>
  <si>
    <t>Entrambi i valori aumentano a causa dell'espansione dell'azienda</t>
  </si>
  <si>
    <t>Costo del lavoro/V.d.P</t>
  </si>
  <si>
    <t>Analisi di quarto livello per il ROT</t>
  </si>
  <si>
    <t>L'indice migliora nel 2010 per quanto spiegato nella nota 3</t>
  </si>
  <si>
    <t>V.d.P/Immobilizzazioni Immateriali</t>
  </si>
  <si>
    <t>V.d.P/Immobilizzazioni Materiali</t>
  </si>
  <si>
    <t xml:space="preserve">Vi è una diminuzione in quanto è notevole l'investimento in immobilizzazioni nel 2010, </t>
  </si>
  <si>
    <t>per quanto riportato nella nota 2, che sottolinea gli investimenti</t>
  </si>
  <si>
    <t>La rotazione è migliore nel 2010, infatti il suo inverso, ossia il tempo di incasso crediti è minore</t>
  </si>
  <si>
    <t>nello stesso anno. Ciò significa che, nonostante i crediti siano aumentati, il valore della produzione</t>
  </si>
  <si>
    <t>è aumentato in maniera più che proporzionale, così da permettermi di avere fondi liquidi in minor tempo</t>
  </si>
  <si>
    <t>ANALISI DI LIQUIDITA'</t>
  </si>
  <si>
    <t>ANALISI PATRIMONIALE</t>
  </si>
  <si>
    <t>ANALISI LIQUIDITA' SECONDO LIVELLO</t>
  </si>
  <si>
    <t>ATTIVITA' CORRENTI/PASSIVITA' CORRENTI</t>
  </si>
  <si>
    <t>QUOZIENTE DI AUTONOMIA FINANZIARIA</t>
  </si>
  <si>
    <t>E/A</t>
  </si>
  <si>
    <t>TEST ACIDO</t>
  </si>
  <si>
    <t>ATTIVITA' CORRENTI-SCORTE/PASSIVITA' CORRENTI</t>
  </si>
  <si>
    <t>QUOZIENTE DI DIPENDENZA FINANZIARIA</t>
  </si>
  <si>
    <t>D/A</t>
  </si>
  <si>
    <t>CAPITALE CIRCOLANTE NETTO FINANZIARIO</t>
  </si>
  <si>
    <t>ATTIVITA' CORRENTI - PASSIVITA' CORRENTI</t>
  </si>
  <si>
    <t>SOLIDITA' PATRIMONIALE</t>
  </si>
  <si>
    <t>E/CAPITALE SOCIALE</t>
  </si>
  <si>
    <t>CAPITALE CIRCOLANTE NETTO OPERATIVO</t>
  </si>
  <si>
    <t>ATTIVITA' - PASSIVITA' CORRENTI</t>
  </si>
  <si>
    <t>MARGINE DI STRUTTURA</t>
  </si>
  <si>
    <t>CAPITALE PROPRIO - ATTIVITA' A M/L TERMINE</t>
  </si>
  <si>
    <t>INDICE DI COPERTURA GLOBALE IMMOBILAZIONI</t>
  </si>
  <si>
    <t>(CAPITALE PROPRIO+PASSIVITA M/L)/ATTIVITA' A M/L TERMINE</t>
  </si>
  <si>
    <t>POSIZIONE FINANZIARIA NETTA</t>
  </si>
  <si>
    <t>DEBITI FINANZIARI - CREDITI FINANZIARI - CASSA</t>
  </si>
  <si>
    <t>RAPPORTO MOL DEBITI FINANZIARI</t>
  </si>
  <si>
    <t>MOL/DEBITI FINANZIARI</t>
  </si>
  <si>
    <t>1. Acquisto di materie prime per 6.000, IVA 10%, pagamento dilazionato</t>
  </si>
  <si>
    <t>2. Vendita di beni per 120.000, a credito , IVA 20%</t>
  </si>
  <si>
    <t xml:space="preserve">3. Sostenimento di costi del personale per 12.000, di cui 1/12 è accantonato a Trattamento di Fine Rapporto (TFR)   </t>
  </si>
  <si>
    <t>4. Accensione di un nuovo mutuo per 20.000</t>
  </si>
  <si>
    <t>5. Pagamento di una rata del suddetto mutuo per 5.000 (di cui 3.000 rappresenta la quota interessi e 2.000 la quota capitale). Calcolati gli oneri finanziari medi mensili, a fine anno si determina che solo “4 mesi” di interessi sono da imputare al 2011</t>
  </si>
  <si>
    <t>6. Ammortamenti relativi al parco impianti per 2.000 e 4.000 per le attività immateriali</t>
  </si>
  <si>
    <t>RISCONTI ATTIVI</t>
  </si>
  <si>
    <t>7. A fine 2011 non ci sono rimanenze di materie prime</t>
  </si>
  <si>
    <t>8. Nel 2012 si procederà a pagare affitti passivi per 9.000, ma a fine 2011 si calcola che 1/3 sono di competenza dell’anno 2011</t>
  </si>
  <si>
    <t>FONDI LIQUIDI</t>
  </si>
  <si>
    <t>MUTUO</t>
  </si>
  <si>
    <t>(a)</t>
  </si>
  <si>
    <t>(3)</t>
  </si>
  <si>
    <t>(5)</t>
  </si>
  <si>
    <t>(4)</t>
  </si>
  <si>
    <t>(s)</t>
  </si>
  <si>
    <t>DEBITI</t>
  </si>
  <si>
    <t>IVA NS CREDITO</t>
  </si>
  <si>
    <t>CREDITI</t>
  </si>
  <si>
    <t>IVA NS DEBITO</t>
  </si>
  <si>
    <t>FONDO TFR</t>
  </si>
  <si>
    <t>(1)</t>
  </si>
  <si>
    <t>(2)</t>
  </si>
  <si>
    <t>AMMORT IMM</t>
  </si>
  <si>
    <t>AMMORT MAT</t>
  </si>
  <si>
    <t>RATEO PASSIVO</t>
  </si>
  <si>
    <t>RISCONTO ATTIVO</t>
  </si>
  <si>
    <t>(6)</t>
  </si>
  <si>
    <t>(8)</t>
  </si>
  <si>
    <t>MATERIE PRIME</t>
  </si>
  <si>
    <t>RICAVI</t>
  </si>
  <si>
    <t>STIPENDI E TFR</t>
  </si>
  <si>
    <t>ONERI</t>
  </si>
  <si>
    <t>AMMORTAMENTI</t>
  </si>
  <si>
    <t>(g)</t>
  </si>
  <si>
    <t>AFFITTI</t>
  </si>
  <si>
    <t>RIMANENZE MATERIE PRIME</t>
  </si>
  <si>
    <t>ATTIVITA' NON CORRENTI</t>
  </si>
  <si>
    <t>PATRIMONIO NETTO</t>
  </si>
  <si>
    <t>Attività immateriali</t>
  </si>
  <si>
    <t>Capitale sociale</t>
  </si>
  <si>
    <t>Ammortamenti immateriali</t>
  </si>
  <si>
    <t>Riserve</t>
  </si>
  <si>
    <t>ATTIVITA' IMMATERIALI</t>
  </si>
  <si>
    <t>Attività materiali</t>
  </si>
  <si>
    <t>Utile portati a nuovo</t>
  </si>
  <si>
    <t>Ammortamenti materiali</t>
  </si>
  <si>
    <t>PASSIVITA' NON CORRENTI</t>
  </si>
  <si>
    <t>ATTIVITA' MATERIALI</t>
  </si>
  <si>
    <t>Debiti finanziari di lungo termine</t>
  </si>
  <si>
    <t>ATTIVITA' CORRENTI</t>
  </si>
  <si>
    <t>PASSIVITA' CORRENTI</t>
  </si>
  <si>
    <t>Rimanenze materie prime</t>
  </si>
  <si>
    <t>Debiti finanziari di breve termine</t>
  </si>
  <si>
    <t>Crediti commerciali</t>
  </si>
  <si>
    <t>Debiti commerciali</t>
  </si>
  <si>
    <t>Iva Ns Credito</t>
  </si>
  <si>
    <t>Iva Ns Debito</t>
  </si>
  <si>
    <t>Attività finanziarie a breve termine</t>
  </si>
  <si>
    <t>Rateo Passivo</t>
  </si>
  <si>
    <t>Risconto attivo</t>
  </si>
  <si>
    <t>Denaro e valori in cassa</t>
  </si>
  <si>
    <t>Gestione operativa</t>
  </si>
  <si>
    <t>Stipendi</t>
  </si>
  <si>
    <t>Interessi</t>
  </si>
  <si>
    <t>Flussi Correnti</t>
  </si>
  <si>
    <t>Gestione finanziaria</t>
  </si>
  <si>
    <t>Affitti</t>
  </si>
  <si>
    <t>Mutuo</t>
  </si>
  <si>
    <t>Restituzione</t>
  </si>
  <si>
    <t>Cassa 2010</t>
  </si>
  <si>
    <t>+ CREDITI</t>
  </si>
  <si>
    <t>-DEBITI</t>
  </si>
  <si>
    <t>+RISCONTO</t>
  </si>
  <si>
    <t>FLUSSI CORRENTI</t>
  </si>
  <si>
    <t>-RATEO</t>
  </si>
  <si>
    <t>-AMMORTAMENTI</t>
  </si>
  <si>
    <t>-RIMANENZE</t>
  </si>
  <si>
    <t>+IVA CREDITO</t>
  </si>
  <si>
    <t>-IVA DEBITO</t>
  </si>
  <si>
    <t>-TFR</t>
  </si>
  <si>
    <t>Rimanenze iniziali</t>
  </si>
  <si>
    <t xml:space="preserve">Costo-non uscita di </t>
  </si>
  <si>
    <t>cassa</t>
  </si>
  <si>
    <t>Utile n o</t>
  </si>
  <si>
    <t>Rendiconto Finanziario</t>
  </si>
  <si>
    <t>metodo indiretto</t>
  </si>
  <si>
    <t>utile netto</t>
  </si>
  <si>
    <t>ammortamenti (+)</t>
  </si>
  <si>
    <t xml:space="preserve">Flusso di cassa potenziale (cash flow aziendale) </t>
  </si>
  <si>
    <t>aumento crediti vs clienti (-)</t>
  </si>
  <si>
    <t>aumento scorte (-)</t>
  </si>
  <si>
    <t>aumento debiti fornitori (+)</t>
  </si>
  <si>
    <t>aumento tfr (+)</t>
  </si>
  <si>
    <t>iva credito (-)</t>
  </si>
  <si>
    <t>debito iva (+)</t>
  </si>
  <si>
    <t>Flusso di cassa netto della gestione corrente</t>
  </si>
  <si>
    <t>aumento risconti (+)</t>
  </si>
  <si>
    <t>acquisizioni debiti fin (+)</t>
  </si>
  <si>
    <t>rimborsi debiti fin (-)</t>
  </si>
  <si>
    <t xml:space="preserve"> Flusso di cassa netto per attività di finanziamento</t>
  </si>
  <si>
    <t>aumento ratei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</si>
</sst>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538DD5"/>
        <bgColor rgb="FF538DD5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00B050"/>
        <bgColor rgb="FF00B050"/>
      </patternFill>
    </fill>
    <fill>
      <patternFill patternType="solid">
        <fgColor rgb="FF632523"/>
        <bgColor rgb="FF632523"/>
      </patternFill>
    </fill>
    <fill>
      <patternFill patternType="solid">
        <fgColor rgb="FFFFC000"/>
        <bgColor rgb="FFFFC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3" fontId="0" fillId="7" borderId="0" xfId="0" applyNumberFormat="1" applyFill="1"/>
    <xf numFmtId="0" fontId="0" fillId="8" borderId="0" xfId="0" applyFill="1"/>
    <xf numFmtId="49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79</xdr:row>
      <xdr:rowOff>0</xdr:rowOff>
    </xdr:from>
    <xdr:ext cx="4648196" cy="3400425"/>
    <xdr:sp macro="" textlink="">
      <xdr:nvSpPr>
        <xdr:cNvPr id="2" name="CasellaDiTesto 1"/>
        <xdr:cNvSpPr txBox="1"/>
      </xdr:nvSpPr>
      <xdr:spPr>
        <a:xfrm>
          <a:off x="6315075" y="15049500"/>
          <a:ext cx="4648196" cy="3400425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1) L’azienda effettua rilevanti investimenti sia in termini di attività immateriali (con l’acquisizione del marchio Ghiucci Kids) sia in termini di attività materiali terminando la costruzione di una sede rinnovata e moderna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2) Avvia anche un’importantissima alleanza con un’affermata azienda del settore, alleanza che prevede l’acquisizione di quote azionarie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3) Partecipando a dei consorzi di acquisto si consegue una razionalizzazione nell’acquisto delle materie prime, il che porta anche ad una migliore politica di gestione delle scorte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4) La liquidità considerata in eccedenza al termine del 2009 viene convenientemente investita in attività finanziarie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5) Tale politica di espansione e razionalizzazione al tempo stesso, porta benefici anche dal punto di vista reddituale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6) Il 2009 si rivela comunque un anno particolare in quanto la vecchia sede viene dismessa, ma in condizioni di convenienza economica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7) Dal punto di vista dell’indebitamento finanziario si avvia un’azione di sostituzione di fonti a breve termine con fonti a lungo termine al fine di garantire una migliore copertura degli investimenti a lungo termine e un contenimento degli oneri finanziari     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A125" workbookViewId="0">
      <selection activeCell="H141" sqref="H141"/>
    </sheetView>
  </sheetViews>
  <sheetFormatPr defaultRowHeight="14.5" x14ac:dyDescent="0.35"/>
  <cols>
    <col min="1" max="1" width="31.26953125" customWidth="1"/>
    <col min="2" max="2" width="14.7265625" customWidth="1"/>
    <col min="3" max="3" width="16.54296875" customWidth="1"/>
    <col min="4" max="7" width="9.1796875" customWidth="1"/>
    <col min="8" max="8" width="10.7265625" customWidth="1"/>
    <col min="9" max="9" width="10.81640625" customWidth="1"/>
    <col min="10" max="10" width="9.1796875" customWidth="1"/>
  </cols>
  <sheetData>
    <row r="1" spans="1:9" x14ac:dyDescent="0.35">
      <c r="A1" t="s">
        <v>0</v>
      </c>
    </row>
    <row r="3" spans="1:9" x14ac:dyDescent="0.35">
      <c r="A3" t="s">
        <v>1</v>
      </c>
    </row>
    <row r="4" spans="1:9" x14ac:dyDescent="0.35">
      <c r="A4" t="s">
        <v>2</v>
      </c>
      <c r="D4" t="s">
        <v>3</v>
      </c>
    </row>
    <row r="5" spans="1:9" x14ac:dyDescent="0.35">
      <c r="A5" t="s">
        <v>4</v>
      </c>
      <c r="B5" s="1">
        <v>40543</v>
      </c>
      <c r="C5" s="1">
        <v>40178</v>
      </c>
      <c r="H5" s="1">
        <v>40543</v>
      </c>
      <c r="I5" s="1">
        <v>40178</v>
      </c>
    </row>
    <row r="6" spans="1:9" x14ac:dyDescent="0.35">
      <c r="A6" t="s">
        <v>5</v>
      </c>
      <c r="B6" s="2">
        <v>18000</v>
      </c>
      <c r="C6" s="2">
        <v>10000</v>
      </c>
      <c r="D6" t="s">
        <v>6</v>
      </c>
      <c r="H6" s="2">
        <v>10000</v>
      </c>
      <c r="I6" s="2">
        <v>10000</v>
      </c>
    </row>
    <row r="7" spans="1:9" x14ac:dyDescent="0.35">
      <c r="A7" t="s">
        <v>7</v>
      </c>
      <c r="B7" s="2">
        <v>10300</v>
      </c>
      <c r="C7" s="2">
        <v>6000</v>
      </c>
      <c r="D7" t="s">
        <v>8</v>
      </c>
      <c r="H7" s="2">
        <v>18000</v>
      </c>
      <c r="I7" s="2">
        <v>12000</v>
      </c>
    </row>
    <row r="8" spans="1:9" x14ac:dyDescent="0.35">
      <c r="A8" t="s">
        <v>9</v>
      </c>
      <c r="B8" s="2">
        <v>9000</v>
      </c>
      <c r="C8" s="2">
        <v>4000</v>
      </c>
      <c r="D8" t="s">
        <v>10</v>
      </c>
      <c r="H8" s="2">
        <v>20300</v>
      </c>
      <c r="I8" s="2">
        <v>9800</v>
      </c>
    </row>
    <row r="9" spans="1:9" x14ac:dyDescent="0.35">
      <c r="A9" t="s">
        <v>11</v>
      </c>
      <c r="B9" s="2">
        <v>15800</v>
      </c>
      <c r="C9" s="2">
        <v>17400</v>
      </c>
      <c r="D9" t="s">
        <v>12</v>
      </c>
      <c r="H9" s="2">
        <v>23700</v>
      </c>
      <c r="I9" s="2">
        <v>15100</v>
      </c>
    </row>
    <row r="10" spans="1:9" x14ac:dyDescent="0.35">
      <c r="A10" t="s">
        <v>13</v>
      </c>
      <c r="B10" s="2">
        <v>40600</v>
      </c>
      <c r="C10" s="2">
        <v>36700</v>
      </c>
      <c r="D10" t="s">
        <v>14</v>
      </c>
      <c r="H10" s="2">
        <v>1600</v>
      </c>
      <c r="I10" s="2">
        <v>1200</v>
      </c>
    </row>
    <row r="11" spans="1:9" x14ac:dyDescent="0.35">
      <c r="A11" t="s">
        <v>15</v>
      </c>
      <c r="B11" s="2">
        <v>10000</v>
      </c>
      <c r="C11" s="2">
        <v>6000</v>
      </c>
      <c r="D11" t="s">
        <v>16</v>
      </c>
      <c r="H11" s="2">
        <v>9100</v>
      </c>
      <c r="I11" s="2">
        <v>19200</v>
      </c>
    </row>
    <row r="12" spans="1:9" x14ac:dyDescent="0.35">
      <c r="A12" t="s">
        <v>17</v>
      </c>
      <c r="B12">
        <v>200</v>
      </c>
      <c r="C12" s="2">
        <v>7300</v>
      </c>
      <c r="D12" t="s">
        <v>18</v>
      </c>
      <c r="H12" s="2">
        <v>21200</v>
      </c>
      <c r="I12" s="2">
        <v>20100</v>
      </c>
    </row>
    <row r="13" spans="1:9" x14ac:dyDescent="0.35">
      <c r="A13" t="s">
        <v>19</v>
      </c>
      <c r="B13" s="2">
        <v>103900</v>
      </c>
      <c r="C13" s="2">
        <v>87400</v>
      </c>
      <c r="H13" s="2">
        <v>103900</v>
      </c>
      <c r="I13" s="2">
        <v>87400</v>
      </c>
    </row>
    <row r="15" spans="1:9" x14ac:dyDescent="0.35">
      <c r="A15" t="s">
        <v>20</v>
      </c>
    </row>
    <row r="16" spans="1:9" x14ac:dyDescent="0.35">
      <c r="B16">
        <v>2010</v>
      </c>
      <c r="C16">
        <v>2009</v>
      </c>
    </row>
    <row r="17" spans="1:3" x14ac:dyDescent="0.35">
      <c r="A17" t="s">
        <v>21</v>
      </c>
    </row>
    <row r="18" spans="1:3" x14ac:dyDescent="0.35">
      <c r="A18" t="s">
        <v>22</v>
      </c>
      <c r="B18" s="2">
        <v>90000</v>
      </c>
      <c r="C18" s="2">
        <v>75000</v>
      </c>
    </row>
    <row r="19" spans="1:3" x14ac:dyDescent="0.35">
      <c r="A19" t="s">
        <v>23</v>
      </c>
      <c r="B19" s="2">
        <v>90000</v>
      </c>
      <c r="C19" s="2">
        <v>75000</v>
      </c>
    </row>
    <row r="20" spans="1:3" x14ac:dyDescent="0.35">
      <c r="A20" t="s">
        <v>24</v>
      </c>
    </row>
    <row r="21" spans="1:3" x14ac:dyDescent="0.35">
      <c r="A21" t="s">
        <v>25</v>
      </c>
      <c r="B21" s="2">
        <v>30000</v>
      </c>
      <c r="C21" s="2">
        <v>35000</v>
      </c>
    </row>
    <row r="22" spans="1:3" x14ac:dyDescent="0.35">
      <c r="A22" t="s">
        <v>26</v>
      </c>
      <c r="B22" s="2">
        <v>29000</v>
      </c>
      <c r="C22" s="2">
        <v>27000</v>
      </c>
    </row>
    <row r="23" spans="1:3" x14ac:dyDescent="0.35">
      <c r="A23" t="s">
        <v>27</v>
      </c>
      <c r="B23" s="2">
        <v>12000</v>
      </c>
      <c r="C23" s="2">
        <v>8000</v>
      </c>
    </row>
    <row r="24" spans="1:3" x14ac:dyDescent="0.35">
      <c r="A24" t="s">
        <v>28</v>
      </c>
      <c r="B24" s="2">
        <v>8000</v>
      </c>
      <c r="C24" s="2">
        <v>4000</v>
      </c>
    </row>
    <row r="25" spans="1:3" x14ac:dyDescent="0.35">
      <c r="A25" t="s">
        <v>29</v>
      </c>
      <c r="B25" s="2">
        <v>79000</v>
      </c>
      <c r="C25" s="2">
        <v>74000</v>
      </c>
    </row>
    <row r="26" spans="1:3" x14ac:dyDescent="0.35">
      <c r="A26" t="s">
        <v>30</v>
      </c>
      <c r="B26" s="2">
        <v>11000</v>
      </c>
      <c r="C26" s="2">
        <v>1000</v>
      </c>
    </row>
    <row r="27" spans="1:3" x14ac:dyDescent="0.35">
      <c r="A27" t="s">
        <v>31</v>
      </c>
    </row>
    <row r="28" spans="1:3" x14ac:dyDescent="0.35">
      <c r="A28" t="s">
        <v>32</v>
      </c>
      <c r="B28" s="2">
        <v>20000</v>
      </c>
      <c r="C28" s="2">
        <v>10000</v>
      </c>
    </row>
    <row r="29" spans="1:3" x14ac:dyDescent="0.35">
      <c r="A29" t="s">
        <v>33</v>
      </c>
      <c r="B29" s="2">
        <v>2000</v>
      </c>
      <c r="C29" s="2">
        <v>5000</v>
      </c>
    </row>
    <row r="30" spans="1:3" x14ac:dyDescent="0.35">
      <c r="A30" t="s">
        <v>34</v>
      </c>
      <c r="B30" s="2">
        <v>18000</v>
      </c>
      <c r="C30" s="2">
        <v>5000</v>
      </c>
    </row>
    <row r="31" spans="1:3" x14ac:dyDescent="0.35">
      <c r="A31" t="s">
        <v>35</v>
      </c>
      <c r="B31" s="2">
        <v>29000</v>
      </c>
      <c r="C31" s="2">
        <v>6000</v>
      </c>
    </row>
    <row r="32" spans="1:3" x14ac:dyDescent="0.35">
      <c r="A32" t="s">
        <v>36</v>
      </c>
    </row>
    <row r="33" spans="1:6" x14ac:dyDescent="0.35">
      <c r="A33" t="s">
        <v>37</v>
      </c>
      <c r="B33">
        <v>0</v>
      </c>
      <c r="C33" s="2">
        <v>8000</v>
      </c>
    </row>
    <row r="34" spans="1:6" x14ac:dyDescent="0.35">
      <c r="A34" t="s">
        <v>38</v>
      </c>
      <c r="B34">
        <v>0</v>
      </c>
      <c r="C34">
        <v>0</v>
      </c>
    </row>
    <row r="35" spans="1:6" x14ac:dyDescent="0.35">
      <c r="A35" t="s">
        <v>39</v>
      </c>
      <c r="B35">
        <v>0</v>
      </c>
      <c r="C35">
        <v>8000</v>
      </c>
    </row>
    <row r="36" spans="1:6" x14ac:dyDescent="0.35">
      <c r="A36" t="s">
        <v>40</v>
      </c>
      <c r="B36" s="2">
        <v>29000</v>
      </c>
      <c r="C36" s="2">
        <v>14000</v>
      </c>
    </row>
    <row r="37" spans="1:6" x14ac:dyDescent="0.35">
      <c r="A37" t="s">
        <v>41</v>
      </c>
      <c r="B37">
        <v>8700</v>
      </c>
      <c r="C37">
        <v>4200</v>
      </c>
    </row>
    <row r="38" spans="1:6" x14ac:dyDescent="0.35">
      <c r="A38" t="s">
        <v>42</v>
      </c>
      <c r="B38" s="2">
        <v>20300</v>
      </c>
      <c r="C38" s="2">
        <v>9800</v>
      </c>
    </row>
    <row r="42" spans="1:6" x14ac:dyDescent="0.35">
      <c r="A42" t="s">
        <v>43</v>
      </c>
      <c r="B42" t="s">
        <v>44</v>
      </c>
      <c r="E42">
        <f>((B38/(H6+H7+H8)))</f>
        <v>0.42028985507246375</v>
      </c>
      <c r="F42">
        <f>((C38/(I6+I7+I8)))</f>
        <v>0.3081761006289308</v>
      </c>
    </row>
    <row r="44" spans="1:6" x14ac:dyDescent="0.35">
      <c r="A44" t="s">
        <v>45</v>
      </c>
      <c r="B44" t="s">
        <v>46</v>
      </c>
      <c r="E44">
        <f>B26/B13</f>
        <v>0.10587102983638114</v>
      </c>
      <c r="F44">
        <f>C26/C13</f>
        <v>1.1441647597254004E-2</v>
      </c>
    </row>
    <row r="46" spans="1:6" x14ac:dyDescent="0.35">
      <c r="A46" t="s">
        <v>47</v>
      </c>
      <c r="B46" t="s">
        <v>48</v>
      </c>
      <c r="E46">
        <f>B29/(H9+H10+H11+H12)</f>
        <v>3.5971223021582732E-2</v>
      </c>
      <c r="F46">
        <f>C29/(I9+I10+I11+I12)</f>
        <v>8.9928057553956831E-2</v>
      </c>
    </row>
    <row r="48" spans="1:6" x14ac:dyDescent="0.35">
      <c r="A48" t="s">
        <v>49</v>
      </c>
      <c r="B48" t="s">
        <v>50</v>
      </c>
      <c r="E48">
        <f>B38/B31</f>
        <v>0.7</v>
      </c>
      <c r="F48">
        <f>C38/C31</f>
        <v>1.6333333333333333</v>
      </c>
    </row>
    <row r="50" spans="1:6" x14ac:dyDescent="0.35">
      <c r="A50" t="s">
        <v>51</v>
      </c>
      <c r="B50" t="s">
        <v>52</v>
      </c>
      <c r="E50">
        <f>(H12+H11+H10+H9)/(H6+H7+H8)</f>
        <v>1.1511387163561078</v>
      </c>
      <c r="F50">
        <f>(I12+I11+I10+I9)/(I6+I7+I8)</f>
        <v>1.7484276729559749</v>
      </c>
    </row>
    <row r="52" spans="1:6" x14ac:dyDescent="0.35">
      <c r="A52" t="s">
        <v>53</v>
      </c>
      <c r="B52" t="s">
        <v>54</v>
      </c>
      <c r="E52">
        <f>(B26+B28)/B13</f>
        <v>0.29836381135707413</v>
      </c>
      <c r="F52">
        <f>(C26+C28)/C13</f>
        <v>0.12585812356979406</v>
      </c>
    </row>
    <row r="54" spans="1:6" x14ac:dyDescent="0.35">
      <c r="A54" t="s">
        <v>43</v>
      </c>
      <c r="B54" t="s">
        <v>55</v>
      </c>
      <c r="E54">
        <f>(E52+(E52-E46)*E50)*E48</f>
        <v>0.4202898550724638</v>
      </c>
      <c r="F54">
        <f>(F52+(F52-F46)*F50)*F48</f>
        <v>0.30817610062893086</v>
      </c>
    </row>
    <row r="56" spans="1:6" x14ac:dyDescent="0.35">
      <c r="A56" t="s">
        <v>56</v>
      </c>
      <c r="B56" t="s">
        <v>57</v>
      </c>
      <c r="E56">
        <f>B26/B19</f>
        <v>0.12222222222222222</v>
      </c>
      <c r="F56">
        <f>C26/C19</f>
        <v>1.3333333333333334E-2</v>
      </c>
    </row>
    <row r="58" spans="1:6" x14ac:dyDescent="0.35">
      <c r="A58" t="s">
        <v>58</v>
      </c>
      <c r="B58" t="s">
        <v>59</v>
      </c>
      <c r="E58">
        <f>B19/B13</f>
        <v>0.86621751684311843</v>
      </c>
      <c r="F58">
        <f>C19/C13</f>
        <v>0.85812356979405036</v>
      </c>
    </row>
    <row r="61" spans="1:6" x14ac:dyDescent="0.35">
      <c r="B61" t="s">
        <v>60</v>
      </c>
      <c r="E61" s="3">
        <f>(B19-B21-B22)/B19</f>
        <v>0.34444444444444444</v>
      </c>
      <c r="F61" s="3">
        <f>(C19-C21-C22)/(C19)</f>
        <v>0.17333333333333334</v>
      </c>
    </row>
    <row r="63" spans="1:6" x14ac:dyDescent="0.35">
      <c r="B63" t="s">
        <v>61</v>
      </c>
      <c r="E63">
        <f>B24/B19</f>
        <v>8.8888888888888892E-2</v>
      </c>
      <c r="F63">
        <f>C24/C19</f>
        <v>5.3333333333333337E-2</v>
      </c>
    </row>
    <row r="68" spans="1:11" x14ac:dyDescent="0.35">
      <c r="B68" t="s">
        <v>62</v>
      </c>
      <c r="E68">
        <f>B19/B9</f>
        <v>5.6962025316455698</v>
      </c>
      <c r="F68">
        <f>C19/C9</f>
        <v>4.3103448275862073</v>
      </c>
    </row>
    <row r="70" spans="1:11" x14ac:dyDescent="0.35">
      <c r="B70" t="s">
        <v>63</v>
      </c>
      <c r="E70">
        <f>B19/(B6+B7)</f>
        <v>3.1802120141342756</v>
      </c>
      <c r="F70">
        <f>C19/(C6+C7)</f>
        <v>4.6875</v>
      </c>
    </row>
    <row r="72" spans="1:11" x14ac:dyDescent="0.35">
      <c r="B72" t="s">
        <v>64</v>
      </c>
      <c r="E72">
        <f>B10*360/B19</f>
        <v>162.4</v>
      </c>
      <c r="F72">
        <f>C10*360/C19</f>
        <v>176.16</v>
      </c>
    </row>
    <row r="76" spans="1:11" x14ac:dyDescent="0.35">
      <c r="A76" s="4" t="s">
        <v>43</v>
      </c>
      <c r="B76" s="4" t="s">
        <v>44</v>
      </c>
      <c r="C76" s="4"/>
      <c r="D76" s="4"/>
      <c r="E76" s="4">
        <f>ROUND((100*B38/(H6+H7+H8)),0)</f>
        <v>42</v>
      </c>
      <c r="F76" s="4">
        <f>ROUND((100*C38/(I6+I7+I8)),0)</f>
        <v>31</v>
      </c>
      <c r="K76">
        <f>(42-31)/31*100</f>
        <v>35.483870967741936</v>
      </c>
    </row>
    <row r="77" spans="1:11" x14ac:dyDescent="0.35">
      <c r="A77" t="s">
        <v>65</v>
      </c>
    </row>
    <row r="78" spans="1:11" x14ac:dyDescent="0.35">
      <c r="A78" t="s">
        <v>66</v>
      </c>
    </row>
    <row r="80" spans="1:11" x14ac:dyDescent="0.35">
      <c r="A80" t="s">
        <v>67</v>
      </c>
    </row>
    <row r="81" spans="1:6" x14ac:dyDescent="0.35">
      <c r="A81" s="5" t="s">
        <v>45</v>
      </c>
      <c r="B81" s="5" t="s">
        <v>46</v>
      </c>
      <c r="C81" s="5"/>
      <c r="D81" s="5"/>
      <c r="E81" s="5">
        <f>ROUND(100*B26/B13,0)</f>
        <v>11</v>
      </c>
      <c r="F81" s="5">
        <f>ROUND(100*C26/C13,0)</f>
        <v>1</v>
      </c>
    </row>
    <row r="82" spans="1:6" x14ac:dyDescent="0.35">
      <c r="A82" t="s">
        <v>68</v>
      </c>
    </row>
    <row r="83" spans="1:6" x14ac:dyDescent="0.35">
      <c r="A83" t="s">
        <v>69</v>
      </c>
    </row>
    <row r="84" spans="1:6" x14ac:dyDescent="0.35">
      <c r="A84" t="s">
        <v>70</v>
      </c>
    </row>
    <row r="85" spans="1:6" x14ac:dyDescent="0.35">
      <c r="A85" t="s">
        <v>71</v>
      </c>
    </row>
    <row r="87" spans="1:6" x14ac:dyDescent="0.35">
      <c r="A87" s="5" t="s">
        <v>47</v>
      </c>
      <c r="B87" s="5" t="s">
        <v>48</v>
      </c>
      <c r="C87" s="5"/>
      <c r="D87" s="5"/>
      <c r="E87" s="5">
        <f>ROUND(100*B29/(H13-H6-H8-H7),0)</f>
        <v>4</v>
      </c>
      <c r="F87" s="5">
        <f>ROUND(100*C29/(I13-I6-I8-I7),0)</f>
        <v>9</v>
      </c>
    </row>
    <row r="88" spans="1:6" x14ac:dyDescent="0.35">
      <c r="A88" t="s">
        <v>72</v>
      </c>
    </row>
    <row r="89" spans="1:6" x14ac:dyDescent="0.35">
      <c r="A89" t="s">
        <v>73</v>
      </c>
    </row>
    <row r="90" spans="1:6" x14ac:dyDescent="0.35">
      <c r="A90" t="s">
        <v>74</v>
      </c>
    </row>
    <row r="92" spans="1:6" x14ac:dyDescent="0.35">
      <c r="A92" s="5" t="s">
        <v>49</v>
      </c>
      <c r="B92" s="5" t="s">
        <v>50</v>
      </c>
      <c r="C92" s="5"/>
      <c r="D92" s="5"/>
      <c r="E92" s="5">
        <f>B38/B31</f>
        <v>0.7</v>
      </c>
      <c r="F92" s="5">
        <f>C38/C31</f>
        <v>1.6333333333333333</v>
      </c>
    </row>
    <row r="93" spans="1:6" x14ac:dyDescent="0.35">
      <c r="A93" t="s">
        <v>75</v>
      </c>
    </row>
    <row r="94" spans="1:6" x14ac:dyDescent="0.35">
      <c r="A94" t="s">
        <v>76</v>
      </c>
    </row>
    <row r="95" spans="1:6" x14ac:dyDescent="0.35">
      <c r="A95" t="s">
        <v>77</v>
      </c>
    </row>
    <row r="96" spans="1:6" x14ac:dyDescent="0.35">
      <c r="A96" s="5" t="s">
        <v>51</v>
      </c>
      <c r="B96" s="5" t="s">
        <v>52</v>
      </c>
      <c r="C96" s="5"/>
      <c r="D96" s="5"/>
      <c r="E96" s="6">
        <f>(H13-H7-H6-H8)/(H6+H7+H8)</f>
        <v>1.1511387163561078</v>
      </c>
      <c r="F96" s="6">
        <f>(I13-I7-I6-I8)/(I6+I7+I8)</f>
        <v>1.7484276729559749</v>
      </c>
    </row>
    <row r="98" spans="1:14" x14ac:dyDescent="0.35">
      <c r="A98" s="5" t="s">
        <v>53</v>
      </c>
      <c r="B98" s="5" t="s">
        <v>54</v>
      </c>
      <c r="C98" s="5"/>
      <c r="D98" s="5"/>
      <c r="E98" s="5">
        <f>ROUND(100*(B26+B28)/B13,0)</f>
        <v>30</v>
      </c>
      <c r="F98" s="5">
        <f>ROUND(100*(C26+C28)/C13,1)</f>
        <v>12.6</v>
      </c>
    </row>
    <row r="99" spans="1:14" x14ac:dyDescent="0.35">
      <c r="A99" t="s">
        <v>78</v>
      </c>
      <c r="I99" s="7">
        <f>19/11</f>
        <v>1.7272727272727273</v>
      </c>
    </row>
    <row r="100" spans="1:14" x14ac:dyDescent="0.35">
      <c r="A100" s="8" t="s">
        <v>79</v>
      </c>
    </row>
    <row r="101" spans="1:14" x14ac:dyDescent="0.35">
      <c r="A101" t="s">
        <v>80</v>
      </c>
    </row>
    <row r="102" spans="1:14" x14ac:dyDescent="0.35">
      <c r="A102" s="9" t="s">
        <v>43</v>
      </c>
      <c r="B102" s="9" t="s">
        <v>81</v>
      </c>
      <c r="C102" s="9"/>
      <c r="D102" s="9"/>
      <c r="E102" s="9">
        <f>(E98+(E98-E87)*E96)*E92</f>
        <v>41.950724637681155</v>
      </c>
      <c r="F102" s="9">
        <f>(F98+(F98-F87)*F96)*F92</f>
        <v>30.860754716981134</v>
      </c>
    </row>
    <row r="103" spans="1:14" x14ac:dyDescent="0.35">
      <c r="A103" t="s">
        <v>82</v>
      </c>
      <c r="E103">
        <f>(E81-E87)*E96</f>
        <v>8.0579710144927539</v>
      </c>
      <c r="F103">
        <f>(F81-F87)*F96</f>
        <v>-13.987421383647799</v>
      </c>
    </row>
    <row r="104" spans="1:14" x14ac:dyDescent="0.35">
      <c r="A104" t="s">
        <v>83</v>
      </c>
      <c r="E104">
        <f>(E98-E87)*E96</f>
        <v>29.929606625258803</v>
      </c>
      <c r="F104">
        <f>(F98-F87)*F96</f>
        <v>6.2943396226415089</v>
      </c>
    </row>
    <row r="105" spans="1:14" x14ac:dyDescent="0.35">
      <c r="A105" t="s">
        <v>84</v>
      </c>
    </row>
    <row r="106" spans="1:14" x14ac:dyDescent="0.35">
      <c r="A106" t="s">
        <v>85</v>
      </c>
    </row>
    <row r="107" spans="1:14" x14ac:dyDescent="0.35">
      <c r="A107" t="s">
        <v>86</v>
      </c>
    </row>
    <row r="108" spans="1:14" x14ac:dyDescent="0.35">
      <c r="A108" t="s">
        <v>87</v>
      </c>
    </row>
    <row r="109" spans="1:14" x14ac:dyDescent="0.35">
      <c r="A109" t="s">
        <v>88</v>
      </c>
    </row>
    <row r="111" spans="1:14" x14ac:dyDescent="0.35">
      <c r="M111">
        <v>2010</v>
      </c>
      <c r="N111">
        <v>2009</v>
      </c>
    </row>
    <row r="112" spans="1:14" x14ac:dyDescent="0.35">
      <c r="A112" t="s">
        <v>89</v>
      </c>
    </row>
    <row r="113" spans="1:7" x14ac:dyDescent="0.35">
      <c r="A113" s="10" t="s">
        <v>56</v>
      </c>
      <c r="B113" s="10" t="s">
        <v>57</v>
      </c>
      <c r="C113" s="10"/>
      <c r="D113" s="10"/>
      <c r="E113" s="10">
        <f>ROUND(100*B26/B19,0)</f>
        <v>12</v>
      </c>
      <c r="F113" s="10">
        <f>ROUND(100*C26/C19,0)</f>
        <v>1</v>
      </c>
    </row>
    <row r="114" spans="1:7" x14ac:dyDescent="0.35">
      <c r="A114" t="s">
        <v>90</v>
      </c>
    </row>
    <row r="115" spans="1:7" x14ac:dyDescent="0.35">
      <c r="A115" t="s">
        <v>91</v>
      </c>
    </row>
    <row r="116" spans="1:7" x14ac:dyDescent="0.35">
      <c r="A116" t="s">
        <v>92</v>
      </c>
    </row>
    <row r="117" spans="1:7" x14ac:dyDescent="0.35">
      <c r="A117" s="10" t="s">
        <v>58</v>
      </c>
      <c r="B117" s="10" t="s">
        <v>59</v>
      </c>
      <c r="C117" s="10"/>
      <c r="D117" s="10"/>
      <c r="E117" s="10">
        <f>B19/B13</f>
        <v>0.86621751684311843</v>
      </c>
      <c r="F117" s="10">
        <f>C19/C13</f>
        <v>0.85812356979405036</v>
      </c>
    </row>
    <row r="118" spans="1:7" x14ac:dyDescent="0.35">
      <c r="A118" t="s">
        <v>93</v>
      </c>
    </row>
    <row r="119" spans="1:7" x14ac:dyDescent="0.35">
      <c r="A119" t="s">
        <v>94</v>
      </c>
    </row>
    <row r="121" spans="1:7" x14ac:dyDescent="0.35">
      <c r="A121" t="s">
        <v>95</v>
      </c>
    </row>
    <row r="122" spans="1:7" x14ac:dyDescent="0.35">
      <c r="A122" s="11" t="s">
        <v>60</v>
      </c>
      <c r="B122" s="11"/>
      <c r="C122" s="11"/>
      <c r="D122" s="12">
        <f>ROUND(100*(B19-B21-B22)/B19,0)</f>
        <v>34</v>
      </c>
      <c r="E122" s="12">
        <f>ROUND(100*(C19-C21-C22)/C19,0)</f>
        <v>17</v>
      </c>
    </row>
    <row r="123" spans="1:7" x14ac:dyDescent="0.35">
      <c r="A123" t="s">
        <v>96</v>
      </c>
    </row>
    <row r="124" spans="1:7" x14ac:dyDescent="0.35">
      <c r="A124" t="s">
        <v>97</v>
      </c>
    </row>
    <row r="126" spans="1:7" x14ac:dyDescent="0.35">
      <c r="A126" s="11" t="s">
        <v>61</v>
      </c>
      <c r="B126" s="11"/>
      <c r="C126" s="11"/>
      <c r="D126" s="11">
        <f>ROUND(100*B24/B19,0)</f>
        <v>9</v>
      </c>
      <c r="E126" s="11">
        <f>ROUND(100*C24/C19,0)</f>
        <v>5</v>
      </c>
    </row>
    <row r="127" spans="1:7" x14ac:dyDescent="0.35">
      <c r="G127" t="s">
        <v>98</v>
      </c>
    </row>
    <row r="128" spans="1:7" x14ac:dyDescent="0.35">
      <c r="A128" s="11" t="s">
        <v>99</v>
      </c>
      <c r="B128" s="11"/>
      <c r="C128" s="11"/>
      <c r="D128" s="11">
        <f>ROUND(B23/B19*100,0)</f>
        <v>13</v>
      </c>
      <c r="E128" s="11">
        <f>ROUND(C23/C19*100,0)</f>
        <v>11</v>
      </c>
    </row>
    <row r="131" spans="1:14" x14ac:dyDescent="0.35">
      <c r="A131" t="s">
        <v>100</v>
      </c>
    </row>
    <row r="132" spans="1:14" x14ac:dyDescent="0.35">
      <c r="A132" s="13" t="s">
        <v>62</v>
      </c>
      <c r="B132" s="13"/>
      <c r="C132" s="13"/>
      <c r="D132" s="13">
        <f>B19/B9</f>
        <v>5.6962025316455698</v>
      </c>
      <c r="E132" s="13">
        <f>C19/C9</f>
        <v>4.3103448275862073</v>
      </c>
    </row>
    <row r="133" spans="1:14" x14ac:dyDescent="0.35">
      <c r="A133" t="s">
        <v>101</v>
      </c>
      <c r="H133" t="s">
        <v>102</v>
      </c>
      <c r="M133">
        <f>B19/B6</f>
        <v>5</v>
      </c>
      <c r="N133">
        <f>C19/C6</f>
        <v>7.5</v>
      </c>
    </row>
    <row r="134" spans="1:14" x14ac:dyDescent="0.35">
      <c r="A134" s="13" t="s">
        <v>63</v>
      </c>
      <c r="B134" s="13"/>
      <c r="C134" s="13"/>
      <c r="D134" s="13">
        <f>B19/(B6+B7)</f>
        <v>3.1802120141342756</v>
      </c>
      <c r="E134" s="13">
        <f>C19/(C6+C7)</f>
        <v>4.6875</v>
      </c>
      <c r="H134" t="s">
        <v>103</v>
      </c>
      <c r="M134">
        <f>B19/B7</f>
        <v>8.7378640776699026</v>
      </c>
      <c r="N134">
        <f>C19/C7</f>
        <v>12.5</v>
      </c>
    </row>
    <row r="135" spans="1:14" x14ac:dyDescent="0.35">
      <c r="A135" t="s">
        <v>104</v>
      </c>
    </row>
    <row r="136" spans="1:14" x14ac:dyDescent="0.35">
      <c r="A136" t="s">
        <v>105</v>
      </c>
    </row>
    <row r="137" spans="1:14" x14ac:dyDescent="0.35">
      <c r="A137" s="13" t="s">
        <v>64</v>
      </c>
      <c r="B137" s="13"/>
      <c r="C137" s="13"/>
      <c r="D137" s="13">
        <f>B10*360/B19</f>
        <v>162.4</v>
      </c>
      <c r="E137" s="13">
        <f>C10*360/C19</f>
        <v>176.16</v>
      </c>
    </row>
    <row r="138" spans="1:14" x14ac:dyDescent="0.35">
      <c r="A138" t="s">
        <v>106</v>
      </c>
    </row>
    <row r="139" spans="1:14" x14ac:dyDescent="0.35">
      <c r="A139" t="s">
        <v>107</v>
      </c>
    </row>
    <row r="140" spans="1:14" x14ac:dyDescent="0.35">
      <c r="A140" t="s">
        <v>108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opLeftCell="F1" workbookViewId="0">
      <selection activeCell="O1" sqref="O1:AB15"/>
    </sheetView>
  </sheetViews>
  <sheetFormatPr defaultRowHeight="14.5" x14ac:dyDescent="0.35"/>
  <cols>
    <col min="1" max="1" width="9.1796875" customWidth="1"/>
  </cols>
  <sheetData>
    <row r="1" spans="1:28" x14ac:dyDescent="0.35">
      <c r="A1" t="s">
        <v>109</v>
      </c>
      <c r="O1" t="s">
        <v>110</v>
      </c>
    </row>
    <row r="3" spans="1:28" x14ac:dyDescent="0.35">
      <c r="A3" t="s">
        <v>111</v>
      </c>
      <c r="E3" t="s">
        <v>112</v>
      </c>
      <c r="K3">
        <f>(Foglio1!B12+Foglio1!B11+Foglio1!B10+Foglio1!B9)/(Foglio1!H12+Foglio1!H11)</f>
        <v>2.1980198019801982</v>
      </c>
      <c r="L3">
        <f>(Foglio1!C12+Foglio1!C11+Foglio1!C10+Foglio1!C9)/(Foglio1!I12+Foglio1!I11)</f>
        <v>1.7150127226463103</v>
      </c>
      <c r="O3" t="s">
        <v>113</v>
      </c>
      <c r="T3" t="s">
        <v>114</v>
      </c>
      <c r="AA3">
        <f>(Foglio1!H6+Foglio1!H7+Foglio1!H8)/Foglio1!B13</f>
        <v>0.46487006737247355</v>
      </c>
      <c r="AB3">
        <f>(Foglio1!I6+Foglio1!I7+Foglio1!I8)/Foglio1!C13</f>
        <v>0.36384439359267734</v>
      </c>
    </row>
    <row r="5" spans="1:28" x14ac:dyDescent="0.35">
      <c r="A5" t="s">
        <v>115</v>
      </c>
      <c r="E5" t="s">
        <v>116</v>
      </c>
      <c r="K5">
        <f>(Foglio1!B12+Foglio1!B11+Foglio1!B10)/(Foglio1!H12+Foglio1!H11)</f>
        <v>1.6765676567656767</v>
      </c>
      <c r="L5">
        <f>(Foglio1!C12+Foglio1!C11+Foglio1!C10)/(Foglio1!I12+Foglio1!I11)</f>
        <v>1.272264631043257</v>
      </c>
      <c r="O5" t="s">
        <v>117</v>
      </c>
      <c r="T5" t="s">
        <v>118</v>
      </c>
      <c r="AA5">
        <f>(Foglio1!H9+Foglio1!H10+Foglio1!H11+Foglio1!H12)/Foglio1!B13</f>
        <v>0.53512993262752651</v>
      </c>
      <c r="AB5">
        <f>(Foglio1!I9+Foglio1!I10+Foglio1!I11+Foglio1!I12)/Foglio1!C13</f>
        <v>0.6361556064073226</v>
      </c>
    </row>
    <row r="7" spans="1:28" x14ac:dyDescent="0.35">
      <c r="A7" t="s">
        <v>119</v>
      </c>
      <c r="F7" t="s">
        <v>120</v>
      </c>
      <c r="K7" s="2">
        <f>(Foglio1!B12+Foglio1!B11+Foglio1!B10)-(Foglio1!H12+Foglio1!H11)</f>
        <v>20500</v>
      </c>
      <c r="L7" s="2">
        <f>(Foglio1!C12+Foglio1!C11+Foglio1!C10)-(Foglio1!I12+Foglio1!I11)</f>
        <v>10700</v>
      </c>
      <c r="O7" t="s">
        <v>121</v>
      </c>
      <c r="T7" t="s">
        <v>122</v>
      </c>
      <c r="AA7">
        <f>(Foglio1!H6+Foglio1!H7+Foglio1!H8)/Foglio1!H6</f>
        <v>4.83</v>
      </c>
      <c r="AB7">
        <f>(Foglio1!I6+Foglio1!I7+Foglio1!I8)/Foglio1!I6</f>
        <v>3.18</v>
      </c>
    </row>
    <row r="9" spans="1:28" x14ac:dyDescent="0.35">
      <c r="A9" t="s">
        <v>123</v>
      </c>
      <c r="F9" t="s">
        <v>124</v>
      </c>
      <c r="K9" s="2">
        <f>Foglio1!B10+Foglio1!B9-Foglio1!H10-Foglio1!H12</f>
        <v>33600</v>
      </c>
      <c r="L9" s="2">
        <f>Foglio1!C10+Foglio1!C9-Foglio1!I10-Foglio1!I12</f>
        <v>32800</v>
      </c>
      <c r="O9" t="s">
        <v>125</v>
      </c>
      <c r="T9" t="s">
        <v>126</v>
      </c>
      <c r="AA9" s="2">
        <f>(Foglio1!H6+Foglio1!H7+Foglio1!H8)-(Foglio1!B6-Foglio1!B7-Foglio1!B8)</f>
        <v>49600</v>
      </c>
      <c r="AB9" s="2">
        <f>(Foglio1!I6+Foglio1!I7+Foglio1!I8)-(Foglio1!C6-Foglio1!C7-Foglio1!C8)</f>
        <v>31800</v>
      </c>
    </row>
    <row r="11" spans="1:28" x14ac:dyDescent="0.35">
      <c r="O11" t="s">
        <v>127</v>
      </c>
      <c r="T11" t="s">
        <v>128</v>
      </c>
      <c r="AA11">
        <f>(Foglio1!H13-Foglio1!H12-Foglio1!H11)/(Foglio1!B6+Foglio1!B7+Foglio1!B8)</f>
        <v>1.9731903485254692</v>
      </c>
      <c r="AB11">
        <f>(Foglio1!I13-Foglio1!I12-Foglio1!I11)/(Foglio1!C6+Foglio1!C7+Foglio1!C8)</f>
        <v>2.4049999999999998</v>
      </c>
    </row>
    <row r="13" spans="1:28" x14ac:dyDescent="0.35">
      <c r="O13" t="s">
        <v>129</v>
      </c>
      <c r="T13" t="s">
        <v>130</v>
      </c>
      <c r="AA13" s="2">
        <f>Foglio1!H9+Foglio1!H11-Foglio1!B12</f>
        <v>32600</v>
      </c>
      <c r="AB13" s="2">
        <f>Foglio1!I9+Foglio1!I11-Foglio1!C12</f>
        <v>27000</v>
      </c>
    </row>
    <row r="15" spans="1:28" x14ac:dyDescent="0.35">
      <c r="O15" t="s">
        <v>131</v>
      </c>
      <c r="T15" t="s">
        <v>132</v>
      </c>
      <c r="AA15">
        <f>(Foglio1!B26+Foglio1!B24)/(Foglio1!H9+Foglio1!H11)</f>
        <v>0.57926829268292679</v>
      </c>
      <c r="AB15">
        <f>(Foglio1!C26+Foglio1!C24)/(Foglio1!I9+Foglio1!I11)</f>
        <v>0.1457725947521866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A10" workbookViewId="0">
      <selection activeCell="P30" sqref="P30"/>
    </sheetView>
  </sheetViews>
  <sheetFormatPr defaultRowHeight="14.5" x14ac:dyDescent="0.35"/>
  <cols>
    <col min="1" max="1" width="9.1796875" customWidth="1"/>
    <col min="2" max="2" width="2.81640625" style="14" customWidth="1"/>
    <col min="3" max="3" width="9.1796875" customWidth="1"/>
    <col min="4" max="4" width="2.81640625" style="14" customWidth="1"/>
    <col min="5" max="6" width="9.1796875" customWidth="1"/>
    <col min="7" max="7" width="2.81640625" style="14" customWidth="1"/>
    <col min="8" max="8" width="9.1796875" customWidth="1"/>
    <col min="9" max="9" width="2.81640625" style="14" customWidth="1"/>
    <col min="10" max="11" width="9.1796875" customWidth="1"/>
    <col min="12" max="12" width="2.81640625" style="14" customWidth="1"/>
    <col min="13" max="13" width="9.1796875" customWidth="1"/>
    <col min="14" max="14" width="2.81640625" style="14" customWidth="1"/>
    <col min="15" max="16" width="9.1796875" customWidth="1"/>
    <col min="17" max="17" width="2.81640625" style="14" customWidth="1"/>
    <col min="18" max="18" width="9.1796875" customWidth="1"/>
    <col min="19" max="19" width="2.81640625" style="14" customWidth="1"/>
    <col min="20" max="21" width="9.1796875" customWidth="1"/>
    <col min="22" max="22" width="2.81640625" style="14" customWidth="1"/>
    <col min="23" max="23" width="9.1796875" customWidth="1"/>
    <col min="24" max="24" width="2.81640625" style="14" customWidth="1"/>
    <col min="25" max="25" width="9.1796875" customWidth="1"/>
  </cols>
  <sheetData>
    <row r="1" spans="1:18" x14ac:dyDescent="0.35">
      <c r="A1" t="s">
        <v>133</v>
      </c>
    </row>
    <row r="2" spans="1:18" x14ac:dyDescent="0.35">
      <c r="A2" t="s">
        <v>134</v>
      </c>
    </row>
    <row r="3" spans="1:18" x14ac:dyDescent="0.35">
      <c r="A3" t="s">
        <v>135</v>
      </c>
    </row>
    <row r="4" spans="1:18" x14ac:dyDescent="0.35">
      <c r="A4" t="s">
        <v>136</v>
      </c>
    </row>
    <row r="5" spans="1:18" x14ac:dyDescent="0.35">
      <c r="A5" t="s">
        <v>137</v>
      </c>
    </row>
    <row r="6" spans="1:18" x14ac:dyDescent="0.35">
      <c r="A6" t="s">
        <v>138</v>
      </c>
      <c r="R6" t="s">
        <v>139</v>
      </c>
    </row>
    <row r="7" spans="1:18" x14ac:dyDescent="0.35">
      <c r="A7" t="s">
        <v>140</v>
      </c>
    </row>
    <row r="8" spans="1:18" x14ac:dyDescent="0.35">
      <c r="A8" t="s">
        <v>141</v>
      </c>
    </row>
    <row r="10" spans="1:18" x14ac:dyDescent="0.35">
      <c r="A10" s="15">
        <v>2011</v>
      </c>
    </row>
    <row r="12" spans="1:18" x14ac:dyDescent="0.35">
      <c r="A12" t="s">
        <v>142</v>
      </c>
      <c r="F12" t="s">
        <v>143</v>
      </c>
    </row>
    <row r="13" spans="1:18" x14ac:dyDescent="0.35">
      <c r="A13">
        <f>Foglio1!B12</f>
        <v>200</v>
      </c>
      <c r="B13" s="14" t="s">
        <v>144</v>
      </c>
      <c r="C13">
        <f>K30-W20</f>
        <v>11000</v>
      </c>
      <c r="D13" s="14" t="s">
        <v>145</v>
      </c>
      <c r="F13">
        <v>2000</v>
      </c>
      <c r="G13" s="14" t="s">
        <v>146</v>
      </c>
      <c r="H13" s="2">
        <f>Foglio1!H9</f>
        <v>23700</v>
      </c>
      <c r="I13" s="14" t="s">
        <v>144</v>
      </c>
    </row>
    <row r="14" spans="1:18" x14ac:dyDescent="0.35">
      <c r="A14">
        <v>20000</v>
      </c>
      <c r="B14" s="14" t="s">
        <v>147</v>
      </c>
      <c r="C14">
        <f>F13+P30</f>
        <v>5000</v>
      </c>
      <c r="D14" s="14" t="s">
        <v>146</v>
      </c>
      <c r="F14" s="2">
        <f>H13+H14-F13</f>
        <v>41700</v>
      </c>
      <c r="G14" s="14" t="s">
        <v>148</v>
      </c>
      <c r="H14">
        <v>20000</v>
      </c>
      <c r="I14" s="14" t="s">
        <v>147</v>
      </c>
    </row>
    <row r="15" spans="1:18" x14ac:dyDescent="0.35">
      <c r="A15">
        <f>A13+A14-C13-C14</f>
        <v>4200</v>
      </c>
      <c r="B15" s="14" t="s">
        <v>148</v>
      </c>
    </row>
    <row r="18" spans="1:24" x14ac:dyDescent="0.35">
      <c r="A18" t="s">
        <v>149</v>
      </c>
      <c r="F18" t="s">
        <v>150</v>
      </c>
      <c r="K18" t="s">
        <v>151</v>
      </c>
      <c r="P18" t="s">
        <v>152</v>
      </c>
      <c r="U18" t="s">
        <v>153</v>
      </c>
    </row>
    <row r="19" spans="1:24" x14ac:dyDescent="0.35">
      <c r="A19" s="2">
        <f>C19+C20</f>
        <v>27800</v>
      </c>
      <c r="B19" s="14" t="s">
        <v>148</v>
      </c>
      <c r="C19" s="2">
        <f>Foglio1!H12</f>
        <v>21200</v>
      </c>
      <c r="D19" s="14" t="s">
        <v>144</v>
      </c>
      <c r="F19">
        <f>A30*0.1</f>
        <v>600</v>
      </c>
      <c r="G19" s="14" t="s">
        <v>154</v>
      </c>
      <c r="H19">
        <v>600</v>
      </c>
      <c r="I19" s="14" t="s">
        <v>148</v>
      </c>
      <c r="K19" s="2">
        <f>Foglio1!B10</f>
        <v>40600</v>
      </c>
      <c r="L19" s="14" t="s">
        <v>144</v>
      </c>
      <c r="M19" s="2">
        <f>K19+K20</f>
        <v>184600</v>
      </c>
      <c r="N19" s="14" t="s">
        <v>148</v>
      </c>
      <c r="P19">
        <f>R19</f>
        <v>24000</v>
      </c>
      <c r="Q19" s="14" t="s">
        <v>148</v>
      </c>
      <c r="R19">
        <f>H30*0.2</f>
        <v>24000</v>
      </c>
      <c r="S19" s="14" t="s">
        <v>155</v>
      </c>
      <c r="U19" s="2">
        <f>W19+W20</f>
        <v>2600</v>
      </c>
      <c r="V19" s="14" t="s">
        <v>148</v>
      </c>
      <c r="W19" s="2">
        <f>Foglio1!H10</f>
        <v>1600</v>
      </c>
      <c r="X19" s="14" t="s">
        <v>144</v>
      </c>
    </row>
    <row r="20" spans="1:24" x14ac:dyDescent="0.35">
      <c r="C20">
        <f>A30+F19</f>
        <v>6600</v>
      </c>
      <c r="D20" s="14" t="s">
        <v>154</v>
      </c>
      <c r="K20">
        <f>H30+R19</f>
        <v>144000</v>
      </c>
      <c r="L20" s="14" t="s">
        <v>155</v>
      </c>
      <c r="W20">
        <f>K30/12</f>
        <v>1000</v>
      </c>
      <c r="X20" s="14" t="s">
        <v>145</v>
      </c>
    </row>
    <row r="24" spans="1:24" x14ac:dyDescent="0.35">
      <c r="A24" t="s">
        <v>156</v>
      </c>
      <c r="B24"/>
      <c r="F24" t="s">
        <v>157</v>
      </c>
      <c r="K24" t="s">
        <v>158</v>
      </c>
      <c r="P24" t="s">
        <v>159</v>
      </c>
    </row>
    <row r="25" spans="1:24" x14ac:dyDescent="0.35">
      <c r="A25">
        <f>C25</f>
        <v>4000</v>
      </c>
      <c r="B25" t="s">
        <v>148</v>
      </c>
      <c r="C25">
        <f>4000</f>
        <v>4000</v>
      </c>
      <c r="D25" s="14" t="s">
        <v>160</v>
      </c>
      <c r="F25">
        <f>H25</f>
        <v>2000</v>
      </c>
      <c r="G25" s="14" t="s">
        <v>148</v>
      </c>
      <c r="H25">
        <v>2000</v>
      </c>
      <c r="I25" s="14" t="s">
        <v>160</v>
      </c>
      <c r="K25">
        <f>M25</f>
        <v>3000</v>
      </c>
      <c r="L25" s="14" t="s">
        <v>148</v>
      </c>
      <c r="M25">
        <v>3000</v>
      </c>
      <c r="N25" s="14" t="s">
        <v>161</v>
      </c>
      <c r="P25">
        <v>2000</v>
      </c>
      <c r="Q25" s="14" t="s">
        <v>146</v>
      </c>
      <c r="R25">
        <f>P25</f>
        <v>2000</v>
      </c>
      <c r="S25" s="14" t="s">
        <v>148</v>
      </c>
    </row>
    <row r="29" spans="1:24" x14ac:dyDescent="0.35">
      <c r="A29" t="s">
        <v>162</v>
      </c>
      <c r="F29" t="s">
        <v>163</v>
      </c>
      <c r="K29" t="s">
        <v>164</v>
      </c>
      <c r="P29" t="s">
        <v>165</v>
      </c>
      <c r="U29" t="s">
        <v>166</v>
      </c>
    </row>
    <row r="30" spans="1:24" x14ac:dyDescent="0.35">
      <c r="A30">
        <v>6000</v>
      </c>
      <c r="B30" s="14" t="s">
        <v>154</v>
      </c>
      <c r="C30" s="2">
        <f>A30+A31</f>
        <v>21800</v>
      </c>
      <c r="D30" s="14" t="s">
        <v>148</v>
      </c>
      <c r="F30">
        <f>H30</f>
        <v>120000</v>
      </c>
      <c r="G30" s="14" t="s">
        <v>148</v>
      </c>
      <c r="H30">
        <v>120000</v>
      </c>
      <c r="I30" s="14" t="s">
        <v>155</v>
      </c>
      <c r="K30">
        <f>12000</f>
        <v>12000</v>
      </c>
      <c r="L30" s="14" t="s">
        <v>145</v>
      </c>
      <c r="M30">
        <f>K30</f>
        <v>12000</v>
      </c>
      <c r="N30" s="14" t="s">
        <v>148</v>
      </c>
      <c r="P30">
        <v>3000</v>
      </c>
      <c r="Q30" s="14" t="s">
        <v>146</v>
      </c>
      <c r="R30">
        <v>2000</v>
      </c>
      <c r="S30" s="14" t="s">
        <v>146</v>
      </c>
      <c r="U30">
        <v>2000</v>
      </c>
      <c r="V30" s="14" t="s">
        <v>160</v>
      </c>
      <c r="W30">
        <f>U30+U31</f>
        <v>6000</v>
      </c>
      <c r="X30" s="14" t="s">
        <v>148</v>
      </c>
    </row>
    <row r="31" spans="1:24" x14ac:dyDescent="0.35">
      <c r="A31" s="2">
        <f>H35</f>
        <v>15800</v>
      </c>
      <c r="B31" s="14" t="s">
        <v>167</v>
      </c>
      <c r="R31">
        <v>1000</v>
      </c>
      <c r="S31" s="14" t="s">
        <v>148</v>
      </c>
      <c r="U31">
        <v>4000</v>
      </c>
      <c r="V31" s="14" t="s">
        <v>160</v>
      </c>
    </row>
    <row r="34" spans="1:9" x14ac:dyDescent="0.35">
      <c r="A34" t="s">
        <v>168</v>
      </c>
      <c r="F34" t="s">
        <v>169</v>
      </c>
    </row>
    <row r="35" spans="1:9" x14ac:dyDescent="0.35">
      <c r="A35">
        <f>9000/3</f>
        <v>3000</v>
      </c>
      <c r="B35" s="14" t="s">
        <v>161</v>
      </c>
      <c r="C35">
        <f>A35</f>
        <v>3000</v>
      </c>
      <c r="D35" s="14" t="s">
        <v>148</v>
      </c>
      <c r="F35" s="2">
        <f>Foglio1!B9</f>
        <v>15800</v>
      </c>
      <c r="G35" s="14" t="s">
        <v>144</v>
      </c>
      <c r="H35" s="2">
        <f>F35</f>
        <v>15800</v>
      </c>
      <c r="I35" s="14" t="s">
        <v>167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B35" sqref="B35"/>
    </sheetView>
  </sheetViews>
  <sheetFormatPr defaultRowHeight="14.5" x14ac:dyDescent="0.35"/>
  <cols>
    <col min="1" max="1" width="30" customWidth="1"/>
    <col min="2" max="2" width="10.7265625" customWidth="1"/>
    <col min="3" max="7" width="9.1796875" customWidth="1"/>
    <col min="8" max="8" width="10.7265625" customWidth="1"/>
    <col min="9" max="9" width="9.1796875" customWidth="1"/>
  </cols>
  <sheetData>
    <row r="1" spans="1:8" x14ac:dyDescent="0.35">
      <c r="A1" t="s">
        <v>1</v>
      </c>
    </row>
    <row r="2" spans="1:8" x14ac:dyDescent="0.35">
      <c r="A2" t="s">
        <v>2</v>
      </c>
      <c r="D2" t="s">
        <v>3</v>
      </c>
    </row>
    <row r="3" spans="1:8" x14ac:dyDescent="0.35">
      <c r="A3" t="s">
        <v>4</v>
      </c>
      <c r="B3" s="1">
        <v>40908</v>
      </c>
      <c r="C3" s="1"/>
      <c r="H3" s="1">
        <v>40908</v>
      </c>
    </row>
    <row r="4" spans="1:8" x14ac:dyDescent="0.35">
      <c r="A4" t="s">
        <v>170</v>
      </c>
      <c r="C4" s="2"/>
      <c r="D4" t="s">
        <v>171</v>
      </c>
    </row>
    <row r="5" spans="1:8" x14ac:dyDescent="0.35">
      <c r="A5" t="s">
        <v>172</v>
      </c>
      <c r="B5" s="2">
        <v>18000</v>
      </c>
      <c r="C5" s="2"/>
      <c r="D5" t="s">
        <v>173</v>
      </c>
      <c r="H5" s="2">
        <f>Foglio1!H6</f>
        <v>10000</v>
      </c>
    </row>
    <row r="6" spans="1:8" x14ac:dyDescent="0.35">
      <c r="A6" t="s">
        <v>174</v>
      </c>
      <c r="B6">
        <f>Foglio2!A25</f>
        <v>4000</v>
      </c>
      <c r="C6" s="2"/>
      <c r="D6" t="s">
        <v>175</v>
      </c>
      <c r="H6" s="2">
        <f>Foglio1!H7</f>
        <v>18000</v>
      </c>
    </row>
    <row r="7" spans="1:8" x14ac:dyDescent="0.35">
      <c r="A7" t="s">
        <v>176</v>
      </c>
      <c r="B7" s="2">
        <f>B5-B6</f>
        <v>14000</v>
      </c>
      <c r="C7" s="2"/>
      <c r="D7" t="s">
        <v>42</v>
      </c>
      <c r="H7" s="2">
        <f>B44</f>
        <v>76200</v>
      </c>
    </row>
    <row r="8" spans="1:8" x14ac:dyDescent="0.35">
      <c r="A8" t="s">
        <v>177</v>
      </c>
      <c r="B8" s="2">
        <v>10300</v>
      </c>
      <c r="C8" s="2"/>
      <c r="D8" t="s">
        <v>178</v>
      </c>
      <c r="H8" s="2">
        <f>Foglio1!H8</f>
        <v>20300</v>
      </c>
    </row>
    <row r="9" spans="1:8" x14ac:dyDescent="0.35">
      <c r="A9" t="s">
        <v>179</v>
      </c>
      <c r="B9">
        <f>Foglio2!F25</f>
        <v>2000</v>
      </c>
      <c r="C9" s="2"/>
      <c r="D9" t="s">
        <v>180</v>
      </c>
    </row>
    <row r="10" spans="1:8" x14ac:dyDescent="0.35">
      <c r="A10" t="s">
        <v>181</v>
      </c>
      <c r="B10" s="2">
        <f>B8-B9</f>
        <v>8300</v>
      </c>
      <c r="C10" s="2"/>
      <c r="D10" t="s">
        <v>182</v>
      </c>
      <c r="H10" s="2">
        <f>Foglio2!F14</f>
        <v>41700</v>
      </c>
    </row>
    <row r="11" spans="1:8" x14ac:dyDescent="0.35">
      <c r="A11" t="s">
        <v>9</v>
      </c>
      <c r="B11" s="2">
        <v>9000</v>
      </c>
      <c r="C11" s="2"/>
      <c r="D11" t="s">
        <v>14</v>
      </c>
      <c r="H11" s="2">
        <f>Foglio2!U19</f>
        <v>2600</v>
      </c>
    </row>
    <row r="12" spans="1:8" x14ac:dyDescent="0.35">
      <c r="A12" t="s">
        <v>183</v>
      </c>
      <c r="D12" t="s">
        <v>184</v>
      </c>
    </row>
    <row r="13" spans="1:8" x14ac:dyDescent="0.35">
      <c r="A13" t="s">
        <v>185</v>
      </c>
      <c r="B13" s="2">
        <v>0</v>
      </c>
      <c r="D13" t="s">
        <v>186</v>
      </c>
      <c r="H13" s="2">
        <f>Foglio1!H11</f>
        <v>9100</v>
      </c>
    </row>
    <row r="14" spans="1:8" x14ac:dyDescent="0.35">
      <c r="A14" t="s">
        <v>187</v>
      </c>
      <c r="B14" s="2">
        <f>Foglio2!M19</f>
        <v>184600</v>
      </c>
      <c r="D14" t="s">
        <v>188</v>
      </c>
      <c r="H14" s="2">
        <f>Foglio2!A19</f>
        <v>27800</v>
      </c>
    </row>
    <row r="15" spans="1:8" x14ac:dyDescent="0.35">
      <c r="A15" t="s">
        <v>189</v>
      </c>
      <c r="B15">
        <f>Foglio2!H19</f>
        <v>600</v>
      </c>
      <c r="D15" t="s">
        <v>190</v>
      </c>
      <c r="H15">
        <f>Foglio2!P19</f>
        <v>24000</v>
      </c>
    </row>
    <row r="16" spans="1:8" x14ac:dyDescent="0.35">
      <c r="A16" t="s">
        <v>191</v>
      </c>
      <c r="B16" s="2">
        <f>Foglio1!B11</f>
        <v>10000</v>
      </c>
      <c r="D16" t="s">
        <v>192</v>
      </c>
      <c r="H16">
        <f>Foglio2!K25</f>
        <v>3000</v>
      </c>
    </row>
    <row r="17" spans="1:8" x14ac:dyDescent="0.35">
      <c r="A17" t="s">
        <v>193</v>
      </c>
      <c r="B17">
        <f>Foglio2!R25</f>
        <v>2000</v>
      </c>
      <c r="D17" s="15" t="s">
        <v>19</v>
      </c>
      <c r="E17" s="15"/>
      <c r="F17" s="15"/>
      <c r="G17" s="15"/>
      <c r="H17" s="16">
        <f>H5+H6+H7+H8+H10+H11+H13+H14+H15+H16</f>
        <v>232700</v>
      </c>
    </row>
    <row r="18" spans="1:8" x14ac:dyDescent="0.35">
      <c r="A18" t="s">
        <v>194</v>
      </c>
      <c r="B18">
        <f>H35</f>
        <v>4200</v>
      </c>
    </row>
    <row r="19" spans="1:8" x14ac:dyDescent="0.35">
      <c r="A19" s="15" t="s">
        <v>19</v>
      </c>
      <c r="B19" s="16">
        <f>B7+B10+B11+B13+B14+B16+B18+B15+B17</f>
        <v>232700</v>
      </c>
    </row>
    <row r="21" spans="1:8" x14ac:dyDescent="0.35">
      <c r="A21" t="s">
        <v>20</v>
      </c>
      <c r="C21" s="2"/>
      <c r="E21" t="s">
        <v>142</v>
      </c>
    </row>
    <row r="22" spans="1:8" x14ac:dyDescent="0.35">
      <c r="C22" s="2"/>
    </row>
    <row r="23" spans="1:8" x14ac:dyDescent="0.35">
      <c r="A23" t="s">
        <v>21</v>
      </c>
      <c r="E23" t="s">
        <v>195</v>
      </c>
    </row>
    <row r="24" spans="1:8" x14ac:dyDescent="0.35">
      <c r="A24" t="s">
        <v>22</v>
      </c>
      <c r="B24" s="2">
        <f>Foglio2!H30</f>
        <v>120000</v>
      </c>
      <c r="C24" s="2"/>
      <c r="E24" t="s">
        <v>196</v>
      </c>
      <c r="H24">
        <f>Foglio2!C13</f>
        <v>11000</v>
      </c>
    </row>
    <row r="25" spans="1:8" x14ac:dyDescent="0.35">
      <c r="A25" t="s">
        <v>23</v>
      </c>
      <c r="B25" s="2">
        <f>B24</f>
        <v>120000</v>
      </c>
      <c r="C25" s="2"/>
      <c r="E25" t="s">
        <v>197</v>
      </c>
      <c r="H25">
        <v>3000</v>
      </c>
    </row>
    <row r="26" spans="1:8" x14ac:dyDescent="0.35">
      <c r="A26" t="s">
        <v>24</v>
      </c>
      <c r="C26" s="2"/>
    </row>
    <row r="27" spans="1:8" x14ac:dyDescent="0.35">
      <c r="A27" t="s">
        <v>25</v>
      </c>
      <c r="B27" s="2">
        <f>Foglio2!C30</f>
        <v>21800</v>
      </c>
      <c r="C27" s="2"/>
      <c r="E27" t="s">
        <v>198</v>
      </c>
      <c r="H27">
        <f>-H24-H25</f>
        <v>-14000</v>
      </c>
    </row>
    <row r="28" spans="1:8" x14ac:dyDescent="0.35">
      <c r="A28" t="s">
        <v>27</v>
      </c>
      <c r="B28" s="2">
        <f>Foglio2!K30</f>
        <v>12000</v>
      </c>
      <c r="C28" s="2"/>
    </row>
    <row r="29" spans="1:8" x14ac:dyDescent="0.35">
      <c r="A29" t="s">
        <v>28</v>
      </c>
      <c r="B29" s="2">
        <f>Foglio2!W30</f>
        <v>6000</v>
      </c>
      <c r="C29" s="2"/>
      <c r="E29" t="s">
        <v>199</v>
      </c>
    </row>
    <row r="30" spans="1:8" x14ac:dyDescent="0.35">
      <c r="A30" t="s">
        <v>200</v>
      </c>
      <c r="B30">
        <f>Foglio2!C35</f>
        <v>3000</v>
      </c>
      <c r="E30" t="s">
        <v>201</v>
      </c>
      <c r="H30">
        <f>Foglio2!A14</f>
        <v>20000</v>
      </c>
    </row>
    <row r="31" spans="1:8" x14ac:dyDescent="0.35">
      <c r="A31" t="s">
        <v>29</v>
      </c>
      <c r="B31" s="2">
        <f>B27+B28+B29+B30</f>
        <v>42800</v>
      </c>
      <c r="C31" s="2"/>
      <c r="E31" t="s">
        <v>202</v>
      </c>
      <c r="H31">
        <v>2000</v>
      </c>
    </row>
    <row r="32" spans="1:8" x14ac:dyDescent="0.35">
      <c r="A32" t="s">
        <v>30</v>
      </c>
      <c r="B32" s="2">
        <f>B25-B31</f>
        <v>77200</v>
      </c>
      <c r="C32" s="2"/>
    </row>
    <row r="33" spans="1:11" x14ac:dyDescent="0.35">
      <c r="A33" t="s">
        <v>31</v>
      </c>
      <c r="C33" s="2"/>
      <c r="E33" t="s">
        <v>203</v>
      </c>
      <c r="H33">
        <f>Foglio2!A13</f>
        <v>200</v>
      </c>
    </row>
    <row r="34" spans="1:11" x14ac:dyDescent="0.35">
      <c r="A34" t="s">
        <v>32</v>
      </c>
      <c r="B34" s="2">
        <v>0</v>
      </c>
      <c r="C34" s="2"/>
    </row>
    <row r="35" spans="1:11" x14ac:dyDescent="0.35">
      <c r="A35" t="s">
        <v>33</v>
      </c>
      <c r="B35" s="2">
        <f>Foglio2!R31</f>
        <v>1000</v>
      </c>
      <c r="C35" s="2"/>
      <c r="E35" t="s">
        <v>19</v>
      </c>
      <c r="H35">
        <f>H27+H30-H31+H33</f>
        <v>4200</v>
      </c>
    </row>
    <row r="36" spans="1:11" x14ac:dyDescent="0.35">
      <c r="A36" t="s">
        <v>34</v>
      </c>
      <c r="B36" s="2">
        <f>B35</f>
        <v>1000</v>
      </c>
    </row>
    <row r="37" spans="1:11" x14ac:dyDescent="0.35">
      <c r="A37" t="s">
        <v>35</v>
      </c>
      <c r="B37" s="2">
        <f>B32-B36</f>
        <v>76200</v>
      </c>
      <c r="C37" s="2"/>
    </row>
    <row r="38" spans="1:11" x14ac:dyDescent="0.35">
      <c r="A38" t="s">
        <v>36</v>
      </c>
    </row>
    <row r="39" spans="1:11" x14ac:dyDescent="0.35">
      <c r="A39" t="s">
        <v>37</v>
      </c>
      <c r="B39">
        <v>0</v>
      </c>
    </row>
    <row r="40" spans="1:11" x14ac:dyDescent="0.35">
      <c r="A40" t="s">
        <v>38</v>
      </c>
      <c r="B40">
        <v>0</v>
      </c>
      <c r="C40" s="2"/>
      <c r="H40" s="2"/>
    </row>
    <row r="41" spans="1:11" x14ac:dyDescent="0.35">
      <c r="A41" t="s">
        <v>39</v>
      </c>
      <c r="B41">
        <v>0</v>
      </c>
      <c r="H41" s="14"/>
    </row>
    <row r="42" spans="1:11" x14ac:dyDescent="0.35">
      <c r="A42" t="s">
        <v>40</v>
      </c>
      <c r="B42" s="2">
        <f>B37+B39-B40</f>
        <v>76200</v>
      </c>
      <c r="C42" s="2"/>
      <c r="H42" s="14" t="s">
        <v>207</v>
      </c>
      <c r="K42">
        <f>H27</f>
        <v>-14000</v>
      </c>
    </row>
    <row r="43" spans="1:11" x14ac:dyDescent="0.35">
      <c r="A43" t="s">
        <v>41</v>
      </c>
      <c r="B43">
        <v>0</v>
      </c>
      <c r="H43" s="14" t="s">
        <v>204</v>
      </c>
      <c r="K43" s="2">
        <f>B14-Foglio1!B10</f>
        <v>144000</v>
      </c>
    </row>
    <row r="44" spans="1:11" x14ac:dyDescent="0.35">
      <c r="A44" t="s">
        <v>42</v>
      </c>
      <c r="B44" s="2">
        <f>B42-B43</f>
        <v>76200</v>
      </c>
      <c r="H44" s="14" t="s">
        <v>211</v>
      </c>
      <c r="K44">
        <f>B15</f>
        <v>600</v>
      </c>
    </row>
    <row r="45" spans="1:11" x14ac:dyDescent="0.35">
      <c r="H45" s="14" t="s">
        <v>205</v>
      </c>
      <c r="K45" s="2">
        <f>-H14+Foglio1!H12</f>
        <v>-6600</v>
      </c>
    </row>
    <row r="46" spans="1:11" x14ac:dyDescent="0.35">
      <c r="H46" s="14" t="s">
        <v>212</v>
      </c>
      <c r="K46">
        <f>-H15</f>
        <v>-24000</v>
      </c>
    </row>
    <row r="47" spans="1:11" x14ac:dyDescent="0.35">
      <c r="H47" s="14" t="s">
        <v>206</v>
      </c>
      <c r="K47">
        <f>B17</f>
        <v>2000</v>
      </c>
    </row>
    <row r="48" spans="1:11" x14ac:dyDescent="0.35">
      <c r="B48">
        <v>76200</v>
      </c>
      <c r="H48" s="14" t="s">
        <v>208</v>
      </c>
      <c r="K48">
        <f>-H16</f>
        <v>-3000</v>
      </c>
    </row>
    <row r="49" spans="6:11" x14ac:dyDescent="0.35">
      <c r="H49" s="14" t="s">
        <v>209</v>
      </c>
      <c r="K49" s="2">
        <f>-B29</f>
        <v>-6000</v>
      </c>
    </row>
    <row r="50" spans="6:11" x14ac:dyDescent="0.35">
      <c r="F50" t="s">
        <v>214</v>
      </c>
      <c r="H50" s="14" t="s">
        <v>210</v>
      </c>
      <c r="K50" s="2">
        <f>-Foglio1!B9</f>
        <v>-15800</v>
      </c>
    </row>
    <row r="51" spans="6:11" x14ac:dyDescent="0.35">
      <c r="F51" t="s">
        <v>215</v>
      </c>
      <c r="H51" s="14" t="s">
        <v>213</v>
      </c>
      <c r="K51">
        <f>-Foglio2!W20</f>
        <v>-1000</v>
      </c>
    </row>
    <row r="52" spans="6:11" x14ac:dyDescent="0.35">
      <c r="F52" t="s">
        <v>216</v>
      </c>
      <c r="H52" s="14" t="s">
        <v>217</v>
      </c>
      <c r="K52">
        <f>SUM(K42:K51)</f>
        <v>76200</v>
      </c>
    </row>
    <row r="53" spans="6:11" x14ac:dyDescent="0.35">
      <c r="H53" s="14"/>
    </row>
    <row r="54" spans="6:11" x14ac:dyDescent="0.35">
      <c r="H54" s="14"/>
    </row>
    <row r="55" spans="6:11" x14ac:dyDescent="0.35">
      <c r="H55" s="14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4" workbookViewId="0">
      <selection activeCell="B19" sqref="B19"/>
    </sheetView>
  </sheetViews>
  <sheetFormatPr defaultRowHeight="14.5" x14ac:dyDescent="0.35"/>
  <cols>
    <col min="1" max="1" width="48.1796875" customWidth="1"/>
  </cols>
  <sheetData>
    <row r="1" spans="1:3" x14ac:dyDescent="0.35">
      <c r="A1" t="s">
        <v>218</v>
      </c>
    </row>
    <row r="2" spans="1:3" x14ac:dyDescent="0.35">
      <c r="A2" t="s">
        <v>219</v>
      </c>
    </row>
    <row r="3" spans="1:3" x14ac:dyDescent="0.35">
      <c r="A3" t="s">
        <v>220</v>
      </c>
      <c r="B3" s="2">
        <f>Foglio3!H7</f>
        <v>76200</v>
      </c>
    </row>
    <row r="4" spans="1:3" x14ac:dyDescent="0.35">
      <c r="A4" t="s">
        <v>221</v>
      </c>
      <c r="B4" s="2">
        <f>Foglio3!B6+Foglio3!B9</f>
        <v>6000</v>
      </c>
    </row>
    <row r="5" spans="1:3" x14ac:dyDescent="0.35">
      <c r="A5" t="s">
        <v>222</v>
      </c>
      <c r="B5" s="2"/>
      <c r="C5" s="2">
        <f>SUM(B3:B4)</f>
        <v>82200</v>
      </c>
    </row>
    <row r="6" spans="1:3" x14ac:dyDescent="0.35">
      <c r="A6" t="s">
        <v>223</v>
      </c>
      <c r="B6" s="2">
        <f>Foglio2!K20</f>
        <v>144000</v>
      </c>
    </row>
    <row r="7" spans="1:3" x14ac:dyDescent="0.35">
      <c r="A7" t="s">
        <v>227</v>
      </c>
      <c r="B7" s="2">
        <f>Foglio3!B15</f>
        <v>600</v>
      </c>
    </row>
    <row r="8" spans="1:3" x14ac:dyDescent="0.35">
      <c r="A8" t="s">
        <v>224</v>
      </c>
      <c r="B8" s="2">
        <f>-Foglio2!F35</f>
        <v>-15800</v>
      </c>
    </row>
    <row r="9" spans="1:3" x14ac:dyDescent="0.35">
      <c r="A9" t="s">
        <v>225</v>
      </c>
      <c r="B9" s="2">
        <f>Foglio2!C20</f>
        <v>6600</v>
      </c>
    </row>
    <row r="10" spans="1:3" x14ac:dyDescent="0.35">
      <c r="A10" t="s">
        <v>226</v>
      </c>
      <c r="B10" s="2">
        <f>Foglio2!W20</f>
        <v>1000</v>
      </c>
    </row>
    <row r="11" spans="1:3" x14ac:dyDescent="0.35">
      <c r="A11" t="s">
        <v>228</v>
      </c>
      <c r="B11" s="2">
        <f>Foglio3!H15</f>
        <v>24000</v>
      </c>
    </row>
    <row r="12" spans="1:3" x14ac:dyDescent="0.35">
      <c r="A12" t="s">
        <v>230</v>
      </c>
      <c r="B12" s="2">
        <f>Foglio3!B17</f>
        <v>2000</v>
      </c>
    </row>
    <row r="13" spans="1:3" x14ac:dyDescent="0.35">
      <c r="A13" t="s">
        <v>234</v>
      </c>
      <c r="B13" s="2">
        <f>Foglio3!H16</f>
        <v>3000</v>
      </c>
    </row>
    <row r="14" spans="1:3" x14ac:dyDescent="0.35">
      <c r="A14" t="s">
        <v>229</v>
      </c>
      <c r="B14" s="2"/>
      <c r="C14" s="2">
        <f>C5-B6-B7-B8+B9+B10+B11-B12+B13</f>
        <v>-14000</v>
      </c>
    </row>
    <row r="15" spans="1:3" x14ac:dyDescent="0.35">
      <c r="A15" t="s">
        <v>231</v>
      </c>
      <c r="B15" s="2">
        <f>Foglio2!H14</f>
        <v>20000</v>
      </c>
    </row>
    <row r="16" spans="1:3" x14ac:dyDescent="0.35">
      <c r="A16" t="s">
        <v>232</v>
      </c>
      <c r="B16" s="2">
        <v>2000</v>
      </c>
    </row>
    <row r="17" spans="1:3" x14ac:dyDescent="0.35">
      <c r="B17" s="2"/>
    </row>
    <row r="18" spans="1:3" x14ac:dyDescent="0.35">
      <c r="A18" t="s">
        <v>233</v>
      </c>
      <c r="C18" s="2">
        <f>C14+B15-B16+B17</f>
        <v>4000</v>
      </c>
    </row>
    <row r="19" spans="1:3" x14ac:dyDescent="0.35">
      <c r="A19" t="s">
        <v>216</v>
      </c>
      <c r="B19">
        <v>200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Foglio4</vt:lpstr>
      <vt:lpstr>Foglio2</vt:lpstr>
      <vt:lpstr>Foglio3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Linda</cp:lastModifiedBy>
  <dcterms:created xsi:type="dcterms:W3CDTF">2013-01-02T20:19:45Z</dcterms:created>
  <dcterms:modified xsi:type="dcterms:W3CDTF">2018-10-09T15:38:13Z</dcterms:modified>
</cp:coreProperties>
</file>