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6696" activeTab="1"/>
  </bookViews>
  <sheets>
    <sheet name="alternativa A" sheetId="1" r:id="rId1"/>
    <sheet name="alternativa B" sheetId="2" r:id="rId2"/>
  </sheets>
  <definedNames/>
  <calcPr fullCalcOnLoad="1"/>
</workbook>
</file>

<file path=xl/sharedStrings.xml><?xml version="1.0" encoding="utf-8"?>
<sst xmlns="http://schemas.openxmlformats.org/spreadsheetml/2006/main" count="96" uniqueCount="55">
  <si>
    <t>TOT RICAVI</t>
  </si>
  <si>
    <t>COSTI</t>
  </si>
  <si>
    <t>TOT COSTI</t>
  </si>
  <si>
    <t>UTILE INCR LORDO</t>
  </si>
  <si>
    <t>imposte incr</t>
  </si>
  <si>
    <t>UTILE INCR NETTO</t>
  </si>
  <si>
    <t>ammort e accant</t>
  </si>
  <si>
    <t>CASH FLOW</t>
  </si>
  <si>
    <t>INV CAP FISSO</t>
  </si>
  <si>
    <t>INV CAP CIRCOLANTE</t>
  </si>
  <si>
    <t>NET CASH FLOW</t>
  </si>
  <si>
    <t>Attualizzazione</t>
  </si>
  <si>
    <t>NPV</t>
  </si>
  <si>
    <t>tasso reinvestimento</t>
  </si>
  <si>
    <t>Capitalizzazione</t>
  </si>
  <si>
    <t>NCF capitalizzati e attualizzati</t>
  </si>
  <si>
    <t>ammortamento</t>
  </si>
  <si>
    <t>OWC</t>
  </si>
  <si>
    <t>Vm(T)</t>
  </si>
  <si>
    <t>Vb(T)</t>
  </si>
  <si>
    <t>inv</t>
  </si>
  <si>
    <t>anni</t>
  </si>
  <si>
    <t>amm</t>
  </si>
  <si>
    <t>aliquota</t>
  </si>
  <si>
    <t>V(T) capitalizzato e attualizzato</t>
  </si>
  <si>
    <t>Fatt tot</t>
  </si>
  <si>
    <t>PA</t>
  </si>
  <si>
    <t>PB</t>
  </si>
  <si>
    <t>PC</t>
  </si>
  <si>
    <t>PD</t>
  </si>
  <si>
    <t>Prezzo</t>
  </si>
  <si>
    <t>volumi vendita PA</t>
  </si>
  <si>
    <t>vol vendita PB</t>
  </si>
  <si>
    <t>mancati ricavi da PA</t>
  </si>
  <si>
    <t>mancati ricavi da PB</t>
  </si>
  <si>
    <t>costo</t>
  </si>
  <si>
    <t>ricavi da nuovi prodotti</t>
  </si>
  <si>
    <t>mancati costi da PA</t>
  </si>
  <si>
    <t>mancati costi da PB</t>
  </si>
  <si>
    <t>costi nuovi prodotti</t>
  </si>
  <si>
    <t>operaio</t>
  </si>
  <si>
    <t>oneri finanziari</t>
  </si>
  <si>
    <t>mancati volumi PA</t>
  </si>
  <si>
    <t>mancati volumi PB</t>
  </si>
  <si>
    <t>debito</t>
  </si>
  <si>
    <t>tasso</t>
  </si>
  <si>
    <t>scorte</t>
  </si>
  <si>
    <t xml:space="preserve">scorte in meno PA </t>
  </si>
  <si>
    <t>scorte in meno PB</t>
  </si>
  <si>
    <t>scorte nuovi prodotti</t>
  </si>
  <si>
    <t>tot scorte differenziali</t>
  </si>
  <si>
    <t>V(T) anno 5</t>
  </si>
  <si>
    <t>costo del capitale = Ke</t>
  </si>
  <si>
    <t>debito finanziario</t>
  </si>
  <si>
    <t>V(T) anno 3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</si>
</sst>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Inattivo&quot;"/>
    <numFmt numFmtId="181" formatCode="[$€-2]\ #.##000_);[Red]\([$€-2]\ #.##000\)"/>
  </numFmts>
  <fonts count="43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zoomScale="60" zoomScaleNormal="60" zoomScalePageLayoutView="0" workbookViewId="0" topLeftCell="A1">
      <selection activeCell="A25" sqref="A25"/>
    </sheetView>
  </sheetViews>
  <sheetFormatPr defaultColWidth="9.140625" defaultRowHeight="12.75"/>
  <cols>
    <col min="1" max="1" width="32.57421875" style="3" customWidth="1"/>
    <col min="2" max="2" width="12.28125" style="3" bestFit="1" customWidth="1"/>
    <col min="3" max="3" width="12.00390625" style="3" bestFit="1" customWidth="1"/>
    <col min="4" max="5" width="13.421875" style="3" bestFit="1" customWidth="1"/>
    <col min="6" max="6" width="11.28125" style="3" customWidth="1"/>
    <col min="7" max="8" width="9.140625" style="3" customWidth="1"/>
    <col min="9" max="9" width="12.28125" style="3" bestFit="1" customWidth="1"/>
    <col min="10" max="16384" width="9.140625" style="3" customWidth="1"/>
  </cols>
  <sheetData>
    <row r="1" spans="2:9" s="1" customFormat="1" ht="14.25" thickBot="1">
      <c r="B1" s="1">
        <v>0</v>
      </c>
      <c r="C1" s="1">
        <v>1</v>
      </c>
      <c r="D1" s="1">
        <v>2</v>
      </c>
      <c r="E1" s="2">
        <v>3</v>
      </c>
      <c r="F1" s="2">
        <v>4</v>
      </c>
      <c r="G1" s="2">
        <v>5</v>
      </c>
      <c r="H1" s="2">
        <v>6</v>
      </c>
      <c r="I1" s="2"/>
    </row>
    <row r="2" spans="1:9" ht="15.75" thickBot="1">
      <c r="A2" s="5"/>
      <c r="B2" s="6">
        <v>2018</v>
      </c>
      <c r="C2" s="6">
        <v>2019</v>
      </c>
      <c r="D2" s="6">
        <v>2020</v>
      </c>
      <c r="E2" s="6">
        <v>2021</v>
      </c>
      <c r="F2" s="6">
        <v>2022</v>
      </c>
      <c r="G2" s="6">
        <v>2023</v>
      </c>
      <c r="H2" s="6">
        <v>2024</v>
      </c>
      <c r="I2" s="4"/>
    </row>
    <row r="3" spans="1:9" ht="15.75" thickBot="1">
      <c r="A3" s="7" t="s">
        <v>25</v>
      </c>
      <c r="B3" s="6"/>
      <c r="C3" s="8">
        <v>3200000</v>
      </c>
      <c r="D3" s="8">
        <v>3200000</v>
      </c>
      <c r="E3" s="8">
        <v>2800000</v>
      </c>
      <c r="F3" s="8">
        <v>2800000</v>
      </c>
      <c r="G3" s="8">
        <v>2600000</v>
      </c>
      <c r="H3" s="4"/>
      <c r="I3" s="4"/>
    </row>
    <row r="4" spans="5:9" ht="14.25" thickBot="1">
      <c r="E4" s="4"/>
      <c r="F4" s="4"/>
      <c r="G4" s="4"/>
      <c r="H4" s="4"/>
      <c r="I4" s="4"/>
    </row>
    <row r="5" spans="1:9" s="1" customFormat="1" ht="15.75" thickBot="1">
      <c r="A5" s="16"/>
      <c r="B5" s="17" t="s">
        <v>26</v>
      </c>
      <c r="C5" s="17" t="s">
        <v>27</v>
      </c>
      <c r="D5" s="17" t="s">
        <v>28</v>
      </c>
      <c r="E5" s="17" t="s">
        <v>29</v>
      </c>
      <c r="F5" s="2"/>
      <c r="G5" s="2"/>
      <c r="H5" s="2"/>
      <c r="I5" s="2"/>
    </row>
    <row r="6" spans="1:9" ht="15.75" thickBot="1">
      <c r="A6" s="10" t="s">
        <v>30</v>
      </c>
      <c r="B6" s="8">
        <v>40</v>
      </c>
      <c r="C6" s="8">
        <v>20</v>
      </c>
      <c r="D6" s="8">
        <v>50</v>
      </c>
      <c r="E6" s="8">
        <v>60</v>
      </c>
      <c r="F6" s="4"/>
      <c r="G6" s="4"/>
      <c r="H6" s="4"/>
      <c r="I6" s="4"/>
    </row>
    <row r="7" spans="1:9" ht="15.75" thickBot="1">
      <c r="A7" s="10" t="s">
        <v>35</v>
      </c>
      <c r="B7" s="8">
        <v>23</v>
      </c>
      <c r="C7" s="8">
        <v>12</v>
      </c>
      <c r="D7" s="8">
        <v>25</v>
      </c>
      <c r="E7" s="8">
        <v>28</v>
      </c>
      <c r="F7" s="4"/>
      <c r="G7" s="4"/>
      <c r="H7" s="4"/>
      <c r="I7" s="4"/>
    </row>
    <row r="8" spans="1:9" ht="15.75" thickBot="1">
      <c r="A8" s="15"/>
      <c r="B8" s="15"/>
      <c r="C8" s="15"/>
      <c r="D8" s="15"/>
      <c r="E8" s="15"/>
      <c r="F8" s="4"/>
      <c r="G8" s="4"/>
      <c r="H8" s="4"/>
      <c r="I8" s="4"/>
    </row>
    <row r="9" spans="1:9" ht="15.75" thickBot="1">
      <c r="A9" s="9" t="s">
        <v>31</v>
      </c>
      <c r="B9" s="6"/>
      <c r="C9" s="6">
        <f>(C3/2)/$B$6</f>
        <v>40000</v>
      </c>
      <c r="D9" s="6">
        <f>(D3/2)/$B$6</f>
        <v>40000</v>
      </c>
      <c r="E9" s="6">
        <f>(E3/2)/$B$6</f>
        <v>35000</v>
      </c>
      <c r="F9" s="6">
        <f>(F3/2)/$B$6</f>
        <v>35000</v>
      </c>
      <c r="G9" s="6">
        <f>(G3/2)/$B$6</f>
        <v>32500</v>
      </c>
      <c r="H9" s="4"/>
      <c r="I9" s="4"/>
    </row>
    <row r="10" spans="1:9" ht="15.75" thickBot="1">
      <c r="A10" s="10" t="s">
        <v>32</v>
      </c>
      <c r="B10" s="10"/>
      <c r="C10" s="10">
        <f>(C3/2)/$C$6</f>
        <v>80000</v>
      </c>
      <c r="D10" s="10">
        <f>(D3/2)/$C$6</f>
        <v>80000</v>
      </c>
      <c r="E10" s="10">
        <f>(E3/2)/$C$6</f>
        <v>70000</v>
      </c>
      <c r="F10" s="10">
        <f>(F3/2)/$C$6</f>
        <v>70000</v>
      </c>
      <c r="G10" s="10">
        <f>(G3/2)/$C$6</f>
        <v>65000</v>
      </c>
      <c r="H10" s="4"/>
      <c r="I10" s="4"/>
    </row>
    <row r="11" spans="6:9" ht="13.5">
      <c r="F11" s="4"/>
      <c r="G11" s="4"/>
      <c r="H11" s="4"/>
      <c r="I11" s="4"/>
    </row>
    <row r="12" spans="5:9" ht="13.5">
      <c r="E12" s="4"/>
      <c r="F12" s="4"/>
      <c r="G12" s="4"/>
      <c r="H12" s="4"/>
      <c r="I12" s="4"/>
    </row>
    <row r="15" spans="1:7" ht="13.5">
      <c r="A15" s="3" t="s">
        <v>42</v>
      </c>
      <c r="C15" s="3">
        <f>C9*0.2</f>
        <v>8000</v>
      </c>
      <c r="D15" s="3">
        <f>D9*0.2</f>
        <v>8000</v>
      </c>
      <c r="E15" s="3">
        <f>E9*0.2</f>
        <v>7000</v>
      </c>
      <c r="F15" s="3">
        <f>F9*0.2</f>
        <v>7000</v>
      </c>
      <c r="G15" s="3">
        <f>G9*0.2</f>
        <v>6500</v>
      </c>
    </row>
    <row r="16" spans="1:7" ht="13.5">
      <c r="A16" s="3" t="s">
        <v>43</v>
      </c>
      <c r="C16" s="3">
        <f>C10*0.1</f>
        <v>8000</v>
      </c>
      <c r="D16" s="3">
        <f>D10*0.1</f>
        <v>8000</v>
      </c>
      <c r="E16" s="3">
        <f>E10*0.1</f>
        <v>7000</v>
      </c>
      <c r="F16" s="3">
        <f>F10*0.1</f>
        <v>7000</v>
      </c>
      <c r="G16" s="3">
        <f>G10*0.1</f>
        <v>6500</v>
      </c>
    </row>
    <row r="18" ht="13.5">
      <c r="A18" s="3" t="s">
        <v>0</v>
      </c>
    </row>
    <row r="19" spans="1:7" ht="13.5">
      <c r="A19" s="3" t="s">
        <v>36</v>
      </c>
      <c r="C19" s="3">
        <f>100000*($D$6+$E$6)</f>
        <v>11000000</v>
      </c>
      <c r="D19" s="3">
        <f>100000*($D$6+$E$6)</f>
        <v>11000000</v>
      </c>
      <c r="E19" s="3">
        <f>100000*($D$6+$E$6)</f>
        <v>11000000</v>
      </c>
      <c r="F19" s="3">
        <f>100000*($D$6+$E$6)</f>
        <v>11000000</v>
      </c>
      <c r="G19" s="3">
        <f>100000*($D$6+$E$6)</f>
        <v>11000000</v>
      </c>
    </row>
    <row r="20" spans="1:7" ht="13.5">
      <c r="A20" s="3" t="s">
        <v>33</v>
      </c>
      <c r="C20" s="3">
        <f>C15*$B$6</f>
        <v>320000</v>
      </c>
      <c r="D20" s="3">
        <f>D15*$B$6</f>
        <v>320000</v>
      </c>
      <c r="E20" s="3">
        <f>E15*$B$6</f>
        <v>280000</v>
      </c>
      <c r="F20" s="3">
        <f>F15*$B$6</f>
        <v>280000</v>
      </c>
      <c r="G20" s="3">
        <f>G15*$B$6</f>
        <v>260000</v>
      </c>
    </row>
    <row r="21" spans="1:7" ht="13.5">
      <c r="A21" s="3" t="s">
        <v>34</v>
      </c>
      <c r="C21" s="3">
        <f>C16*$C$6</f>
        <v>160000</v>
      </c>
      <c r="D21" s="3">
        <f>D16*$C$6</f>
        <v>160000</v>
      </c>
      <c r="E21" s="3">
        <f>E16*$C$6</f>
        <v>140000</v>
      </c>
      <c r="F21" s="3">
        <f>F16*$C$6</f>
        <v>140000</v>
      </c>
      <c r="G21" s="3">
        <f>G16*$C$6</f>
        <v>130000</v>
      </c>
    </row>
    <row r="22" spans="1:7" ht="13.5">
      <c r="A22" s="3" t="s">
        <v>0</v>
      </c>
      <c r="C22" s="3">
        <f>C19-C21-C20</f>
        <v>10520000</v>
      </c>
      <c r="D22" s="3">
        <f>D19-D21-D20</f>
        <v>10520000</v>
      </c>
      <c r="E22" s="3">
        <f>E19-E21-E20</f>
        <v>10580000</v>
      </c>
      <c r="F22" s="3">
        <f>F19-F21-F20</f>
        <v>10580000</v>
      </c>
      <c r="G22" s="3">
        <f>G19-G21-G20</f>
        <v>10610000</v>
      </c>
    </row>
    <row r="24" ht="13.5">
      <c r="A24" s="3" t="s">
        <v>1</v>
      </c>
    </row>
    <row r="25" spans="1:10" ht="13.5">
      <c r="A25" s="3" t="s">
        <v>39</v>
      </c>
      <c r="C25" s="3">
        <f>100000*($D$7+$E$7)</f>
        <v>5300000</v>
      </c>
      <c r="D25" s="3">
        <f>100000*($D$7+$E$7)</f>
        <v>5300000</v>
      </c>
      <c r="E25" s="3">
        <f>100000*($D$7+$E$7)</f>
        <v>5300000</v>
      </c>
      <c r="F25" s="3">
        <f>100000*($D$7+$E$7)</f>
        <v>5300000</v>
      </c>
      <c r="G25" s="3">
        <f>100000*($D$7+$E$7)</f>
        <v>5300000</v>
      </c>
      <c r="I25" s="3" t="s">
        <v>20</v>
      </c>
      <c r="J25" s="3">
        <v>7200000</v>
      </c>
    </row>
    <row r="26" spans="1:10" ht="13.5">
      <c r="A26" s="3" t="s">
        <v>37</v>
      </c>
      <c r="C26" s="3">
        <f>-C15*$B$7</f>
        <v>-184000</v>
      </c>
      <c r="D26" s="3">
        <f>-D15*$B$7</f>
        <v>-184000</v>
      </c>
      <c r="E26" s="3">
        <f>-E15*$B$7</f>
        <v>-161000</v>
      </c>
      <c r="F26" s="3">
        <f>-F15*$B$7</f>
        <v>-161000</v>
      </c>
      <c r="G26" s="3">
        <f>-G15*$B$7</f>
        <v>-149500</v>
      </c>
      <c r="I26" s="3" t="s">
        <v>21</v>
      </c>
      <c r="J26" s="3">
        <v>10</v>
      </c>
    </row>
    <row r="27" spans="1:10" ht="13.5">
      <c r="A27" s="3" t="s">
        <v>38</v>
      </c>
      <c r="C27" s="3">
        <f>-C16*$C$7</f>
        <v>-96000</v>
      </c>
      <c r="D27" s="3">
        <f>-D16*$C$7</f>
        <v>-96000</v>
      </c>
      <c r="E27" s="3">
        <f>-E16*$C$7</f>
        <v>-84000</v>
      </c>
      <c r="F27" s="3">
        <f>-F16*$C$7</f>
        <v>-84000</v>
      </c>
      <c r="G27" s="3">
        <f>-G16*$C$7</f>
        <v>-78000</v>
      </c>
      <c r="I27" s="3" t="s">
        <v>22</v>
      </c>
      <c r="J27" s="3">
        <f>J25/J26</f>
        <v>720000</v>
      </c>
    </row>
    <row r="28" spans="1:7" ht="13.5">
      <c r="A28" s="3" t="s">
        <v>16</v>
      </c>
      <c r="C28" s="3">
        <f>J27</f>
        <v>720000</v>
      </c>
      <c r="D28" s="3">
        <f>C28</f>
        <v>720000</v>
      </c>
      <c r="E28" s="3">
        <f>D28</f>
        <v>720000</v>
      </c>
      <c r="F28" s="3">
        <f>E28</f>
        <v>720000</v>
      </c>
      <c r="G28" s="3">
        <f>F28</f>
        <v>720000</v>
      </c>
    </row>
    <row r="29" spans="1:10" ht="13.5">
      <c r="A29" s="3" t="s">
        <v>40</v>
      </c>
      <c r="C29" s="3">
        <v>30000</v>
      </c>
      <c r="D29" s="3">
        <v>30000</v>
      </c>
      <c r="E29" s="3">
        <v>30000</v>
      </c>
      <c r="F29" s="3">
        <v>30000</v>
      </c>
      <c r="G29" s="3">
        <v>30000</v>
      </c>
      <c r="I29" s="3" t="s">
        <v>45</v>
      </c>
      <c r="J29" s="3">
        <v>0.04</v>
      </c>
    </row>
    <row r="30" spans="1:10" ht="13.5">
      <c r="A30" s="3" t="s">
        <v>41</v>
      </c>
      <c r="C30" s="3">
        <f>J30*J29</f>
        <v>86400</v>
      </c>
      <c r="D30" s="3">
        <f>C30</f>
        <v>86400</v>
      </c>
      <c r="E30" s="3">
        <f>D30</f>
        <v>86400</v>
      </c>
      <c r="F30" s="3">
        <f>E30</f>
        <v>86400</v>
      </c>
      <c r="G30" s="3">
        <f>F30</f>
        <v>86400</v>
      </c>
      <c r="I30" s="3" t="s">
        <v>44</v>
      </c>
      <c r="J30" s="3">
        <f>J25*0.3</f>
        <v>2160000</v>
      </c>
    </row>
    <row r="31" spans="1:7" ht="13.5">
      <c r="A31" s="3" t="s">
        <v>2</v>
      </c>
      <c r="C31" s="3">
        <f>SUM(C25:C30)</f>
        <v>5856400</v>
      </c>
      <c r="D31" s="3">
        <f>SUM(D25:D30)</f>
        <v>5856400</v>
      </c>
      <c r="E31" s="3">
        <f>SUM(E25:E30)</f>
        <v>5891400</v>
      </c>
      <c r="F31" s="3">
        <f>SUM(F25:F30)</f>
        <v>5891400</v>
      </c>
      <c r="G31" s="3">
        <f>SUM(G25:G30)</f>
        <v>5908900</v>
      </c>
    </row>
    <row r="32" spans="9:10" ht="13.5">
      <c r="I32" s="3" t="s">
        <v>23</v>
      </c>
      <c r="J32" s="3">
        <v>0.4</v>
      </c>
    </row>
    <row r="33" spans="1:7" ht="13.5">
      <c r="A33" s="3" t="s">
        <v>3</v>
      </c>
      <c r="C33" s="3">
        <f>C22-C31</f>
        <v>4663600</v>
      </c>
      <c r="D33" s="3">
        <f>D22-D31</f>
        <v>4663600</v>
      </c>
      <c r="E33" s="3">
        <f>E22-E31</f>
        <v>4688600</v>
      </c>
      <c r="F33" s="3">
        <f>F22-F31</f>
        <v>4688600</v>
      </c>
      <c r="G33" s="3">
        <f>G22-G31</f>
        <v>4701100</v>
      </c>
    </row>
    <row r="35" spans="1:7" ht="13.5">
      <c r="A35" s="3" t="s">
        <v>4</v>
      </c>
      <c r="C35" s="3">
        <f>C33*$J$32</f>
        <v>1865440</v>
      </c>
      <c r="D35" s="3">
        <f>D33*$J$32</f>
        <v>1865440</v>
      </c>
      <c r="E35" s="3">
        <f>E33*$J$32</f>
        <v>1875440</v>
      </c>
      <c r="F35" s="3">
        <f>F33*$J$32</f>
        <v>1875440</v>
      </c>
      <c r="G35" s="3">
        <f>G33*$J$32</f>
        <v>1880440</v>
      </c>
    </row>
    <row r="37" spans="1:7" ht="13.5">
      <c r="A37" s="3" t="s">
        <v>5</v>
      </c>
      <c r="C37" s="3">
        <f>C33-C35</f>
        <v>2798160</v>
      </c>
      <c r="D37" s="3">
        <f>D33-D35</f>
        <v>2798160</v>
      </c>
      <c r="E37" s="3">
        <f>E33-E35</f>
        <v>2813160</v>
      </c>
      <c r="F37" s="3">
        <f>F33-F35</f>
        <v>2813160</v>
      </c>
      <c r="G37" s="3">
        <f>G33-G35</f>
        <v>2820660</v>
      </c>
    </row>
    <row r="39" spans="1:7" ht="13.5">
      <c r="A39" s="3" t="s">
        <v>6</v>
      </c>
      <c r="C39" s="3">
        <f>C28</f>
        <v>720000</v>
      </c>
      <c r="D39" s="3">
        <f>D28</f>
        <v>720000</v>
      </c>
      <c r="E39" s="3">
        <f>E28</f>
        <v>720000</v>
      </c>
      <c r="F39" s="3">
        <f>F28</f>
        <v>720000</v>
      </c>
      <c r="G39" s="3">
        <f>G28</f>
        <v>720000</v>
      </c>
    </row>
    <row r="41" spans="1:7" ht="39.75" customHeight="1">
      <c r="A41" s="3" t="s">
        <v>7</v>
      </c>
      <c r="C41" s="3">
        <f>C37+C39</f>
        <v>3518160</v>
      </c>
      <c r="D41" s="3">
        <f>D37+D39</f>
        <v>3518160</v>
      </c>
      <c r="E41" s="3">
        <f>E37+E39</f>
        <v>3533160</v>
      </c>
      <c r="F41" s="3">
        <f>F37+F39</f>
        <v>3533160</v>
      </c>
      <c r="G41" s="3">
        <f>G37+G39</f>
        <v>3540660</v>
      </c>
    </row>
    <row r="43" spans="1:3" ht="13.5">
      <c r="A43" s="3" t="s">
        <v>8</v>
      </c>
      <c r="C43" s="3">
        <f>J25</f>
        <v>7200000</v>
      </c>
    </row>
    <row r="47" spans="1:8" ht="13.5">
      <c r="A47" s="3" t="s">
        <v>47</v>
      </c>
      <c r="C47" s="3">
        <f>C20*0.05</f>
        <v>16000</v>
      </c>
      <c r="D47" s="3">
        <f>D20*0.05</f>
        <v>16000</v>
      </c>
      <c r="E47" s="3">
        <f>E20*0.05</f>
        <v>14000</v>
      </c>
      <c r="F47" s="3">
        <f>F20*0.05</f>
        <v>14000</v>
      </c>
      <c r="G47" s="3">
        <f>G20*0.05</f>
        <v>13000</v>
      </c>
      <c r="H47" s="3">
        <f>H20*0.05</f>
        <v>0</v>
      </c>
    </row>
    <row r="48" spans="1:8" ht="13.5">
      <c r="A48" s="3" t="s">
        <v>48</v>
      </c>
      <c r="C48" s="3">
        <f>C21*0.05</f>
        <v>8000</v>
      </c>
      <c r="D48" s="3">
        <f>D21*0.05</f>
        <v>8000</v>
      </c>
      <c r="E48" s="3">
        <f>E21*0.05</f>
        <v>7000</v>
      </c>
      <c r="F48" s="3">
        <f>F21*0.05</f>
        <v>7000</v>
      </c>
      <c r="G48" s="3">
        <f>G21*0.05</f>
        <v>6500</v>
      </c>
      <c r="H48" s="3">
        <f>H21*0.05</f>
        <v>0</v>
      </c>
    </row>
    <row r="49" spans="1:8" ht="13.5">
      <c r="A49" s="3" t="s">
        <v>49</v>
      </c>
      <c r="C49" s="3">
        <f>C19*0.05</f>
        <v>550000</v>
      </c>
      <c r="D49" s="3">
        <f>D19*0.05</f>
        <v>550000</v>
      </c>
      <c r="E49" s="3">
        <f>E19*0.05</f>
        <v>550000</v>
      </c>
      <c r="F49" s="3">
        <f>F19*0.05</f>
        <v>550000</v>
      </c>
      <c r="G49" s="3">
        <f>G19*0.05</f>
        <v>550000</v>
      </c>
      <c r="H49" s="3">
        <f>H19*0.05</f>
        <v>0</v>
      </c>
    </row>
    <row r="50" spans="1:8" ht="13.5">
      <c r="A50" s="3" t="s">
        <v>50</v>
      </c>
      <c r="C50" s="3">
        <f>C49-C48-C47</f>
        <v>526000</v>
      </c>
      <c r="D50" s="3">
        <f>D49-D48-D47</f>
        <v>526000</v>
      </c>
      <c r="E50" s="3">
        <f>E49-E48-E47</f>
        <v>529000</v>
      </c>
      <c r="F50" s="3">
        <f>F49-F48-F47</f>
        <v>529000</v>
      </c>
      <c r="G50" s="3">
        <f>G49-G48-G47</f>
        <v>530500</v>
      </c>
      <c r="H50" s="3">
        <f>H49-H48-H47</f>
        <v>0</v>
      </c>
    </row>
    <row r="51" spans="1:8" ht="13.5">
      <c r="A51" s="3" t="s">
        <v>9</v>
      </c>
      <c r="C51" s="3">
        <f aca="true" t="shared" si="0" ref="C51:H51">C50-B50</f>
        <v>526000</v>
      </c>
      <c r="D51" s="3">
        <f t="shared" si="0"/>
        <v>0</v>
      </c>
      <c r="E51" s="3">
        <f t="shared" si="0"/>
        <v>3000</v>
      </c>
      <c r="F51" s="3">
        <f t="shared" si="0"/>
        <v>0</v>
      </c>
      <c r="G51" s="3">
        <f t="shared" si="0"/>
        <v>1500</v>
      </c>
      <c r="H51" s="3">
        <f t="shared" si="0"/>
        <v>-530500</v>
      </c>
    </row>
    <row r="53" spans="1:7" ht="13.5">
      <c r="A53" s="3" t="s">
        <v>53</v>
      </c>
      <c r="C53" s="3">
        <f>J30</f>
        <v>2160000</v>
      </c>
      <c r="G53" s="3">
        <f>-J30</f>
        <v>-2160000</v>
      </c>
    </row>
    <row r="55" spans="1:8" ht="13.5">
      <c r="A55" s="3" t="s">
        <v>10</v>
      </c>
      <c r="C55" s="3">
        <f>C41-C43-C51+C53</f>
        <v>-2047840</v>
      </c>
      <c r="D55" s="3">
        <f>D41-D43-D51+D53</f>
        <v>3518160</v>
      </c>
      <c r="E55" s="3">
        <f>E41-E43-E51+E53</f>
        <v>3530160</v>
      </c>
      <c r="F55" s="3">
        <f>F41-F43-F51+F53</f>
        <v>3533160</v>
      </c>
      <c r="G55" s="3">
        <f>G41-G43-G51+G53</f>
        <v>1379160</v>
      </c>
      <c r="H55" s="3">
        <f>H41-H43-H51</f>
        <v>530500</v>
      </c>
    </row>
    <row r="57" spans="1:7" ht="13.5">
      <c r="A57" s="3" t="s">
        <v>18</v>
      </c>
      <c r="G57" s="3">
        <f>G58*0.4</f>
        <v>1440000</v>
      </c>
    </row>
    <row r="58" spans="1:7" ht="13.5">
      <c r="A58" s="3" t="s">
        <v>19</v>
      </c>
      <c r="G58" s="3">
        <f>J25-SUM(C28:G28)</f>
        <v>3600000</v>
      </c>
    </row>
    <row r="59" spans="1:7" ht="13.5">
      <c r="A59" s="3" t="s">
        <v>51</v>
      </c>
      <c r="G59" s="3">
        <f>G57-(G57-G58)*J32</f>
        <v>2304000</v>
      </c>
    </row>
    <row r="61" spans="1:2" ht="13.5">
      <c r="A61" s="3" t="s">
        <v>52</v>
      </c>
      <c r="B61" s="3">
        <f>0.06</f>
        <v>0.06</v>
      </c>
    </row>
    <row r="62" spans="1:2" ht="13.5">
      <c r="A62" s="3" t="s">
        <v>13</v>
      </c>
      <c r="B62" s="3">
        <v>0.02</v>
      </c>
    </row>
    <row r="63" spans="1:7" ht="13.5">
      <c r="A63" s="3" t="s">
        <v>14</v>
      </c>
      <c r="B63" s="3">
        <f>POWER((1+$B$62),($G$1-B1))</f>
        <v>1.1040808032</v>
      </c>
      <c r="C63" s="3">
        <f>POWER((1+$B$62),($G$1-C1))</f>
        <v>1.08243216</v>
      </c>
      <c r="D63" s="3">
        <f>POWER((1+$B$62),($G$1-D1))</f>
        <v>1.061208</v>
      </c>
      <c r="E63" s="3">
        <f>POWER((1+$B$62),($G$1-E1))</f>
        <v>1.0404</v>
      </c>
      <c r="F63" s="3">
        <f>POWER((1+$B$62),($G$1-F1))</f>
        <v>1.02</v>
      </c>
      <c r="G63" s="3">
        <f>POWER((1+$B$62),($G$1-G1))</f>
        <v>1</v>
      </c>
    </row>
    <row r="64" spans="1:2" ht="13.5">
      <c r="A64" s="3" t="s">
        <v>11</v>
      </c>
      <c r="B64" s="3">
        <f>POWER((1+B61),5)</f>
        <v>1.3382255776000005</v>
      </c>
    </row>
    <row r="65" spans="1:8" ht="13.5">
      <c r="A65" s="3" t="s">
        <v>15</v>
      </c>
      <c r="C65" s="3">
        <f>C55*C63</f>
        <v>-2216647.8745344</v>
      </c>
      <c r="D65" s="3">
        <f>D55*D63</f>
        <v>3733499.53728</v>
      </c>
      <c r="E65" s="3">
        <f>E55*E63</f>
        <v>3672778.464</v>
      </c>
      <c r="F65" s="3">
        <f>F55*F63</f>
        <v>3603823.2</v>
      </c>
      <c r="G65" s="3">
        <f>G55*G63</f>
        <v>1379160</v>
      </c>
      <c r="H65" s="3">
        <f>H55/(1+B61)^H1</f>
        <v>373981.56670324825</v>
      </c>
    </row>
    <row r="66" spans="1:7" ht="13.5">
      <c r="A66" s="3" t="s">
        <v>24</v>
      </c>
      <c r="G66" s="3">
        <f>G59</f>
        <v>2304000</v>
      </c>
    </row>
    <row r="69" spans="1:2" s="1" customFormat="1" ht="13.5">
      <c r="A69" s="1" t="s">
        <v>12</v>
      </c>
      <c r="B69" s="1">
        <f>SUM(C65:G66)/B64+(H65/(1+B61)^H1)</f>
        <v>9586893.525477812</v>
      </c>
    </row>
    <row r="70" s="1" customFormat="1" ht="13.5"/>
  </sheetData>
  <sheetProtection/>
  <printOptions/>
  <pageMargins left="0.75" right="0.75" top="1" bottom="1" header="0.5" footer="0.5"/>
  <pageSetup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42">
      <selection activeCell="C49" sqref="C49"/>
    </sheetView>
  </sheetViews>
  <sheetFormatPr defaultColWidth="9.140625" defaultRowHeight="12.75"/>
  <cols>
    <col min="1" max="1" width="32.57421875" style="3" customWidth="1"/>
    <col min="2" max="2" width="9.140625" style="3" customWidth="1"/>
    <col min="3" max="3" width="12.00390625" style="3" bestFit="1" customWidth="1"/>
    <col min="4" max="16384" width="9.140625" style="3" customWidth="1"/>
  </cols>
  <sheetData>
    <row r="1" spans="1:8" ht="14.25" thickBot="1">
      <c r="A1" s="1"/>
      <c r="B1" s="1">
        <v>0</v>
      </c>
      <c r="C1" s="1">
        <v>1</v>
      </c>
      <c r="D1" s="1">
        <v>2</v>
      </c>
      <c r="E1" s="2">
        <v>3</v>
      </c>
      <c r="F1" s="2">
        <v>4</v>
      </c>
      <c r="G1" s="2">
        <v>5</v>
      </c>
      <c r="H1" s="2">
        <v>6</v>
      </c>
    </row>
    <row r="2" spans="1:9" ht="15.75" thickBot="1">
      <c r="A2" s="5"/>
      <c r="B2" s="6">
        <v>2018</v>
      </c>
      <c r="C2" s="6">
        <v>2019</v>
      </c>
      <c r="D2" s="6">
        <v>2020</v>
      </c>
      <c r="E2" s="6">
        <v>2021</v>
      </c>
      <c r="F2" s="6">
        <v>2022</v>
      </c>
      <c r="G2" s="6">
        <v>2023</v>
      </c>
      <c r="H2" s="6">
        <v>2024</v>
      </c>
      <c r="I2" s="4"/>
    </row>
    <row r="3" spans="1:9" ht="15.75" thickBot="1">
      <c r="A3" s="7" t="s">
        <v>25</v>
      </c>
      <c r="B3" s="6"/>
      <c r="C3" s="8">
        <v>3200000</v>
      </c>
      <c r="D3" s="8">
        <v>3200000</v>
      </c>
      <c r="E3" s="8">
        <v>2800000</v>
      </c>
      <c r="F3" s="8">
        <v>2800000</v>
      </c>
      <c r="G3" s="8">
        <v>2600000</v>
      </c>
      <c r="H3" s="4"/>
      <c r="I3" s="4"/>
    </row>
    <row r="4" spans="5:9" ht="14.25" thickBot="1">
      <c r="E4" s="4"/>
      <c r="F4" s="4"/>
      <c r="G4" s="4"/>
      <c r="H4" s="4"/>
      <c r="I4" s="4"/>
    </row>
    <row r="5" spans="1:9" ht="14.25" thickBot="1">
      <c r="A5" s="11"/>
      <c r="B5" s="12" t="s">
        <v>26</v>
      </c>
      <c r="C5" s="12" t="s">
        <v>27</v>
      </c>
      <c r="D5" s="12" t="s">
        <v>28</v>
      </c>
      <c r="E5" s="12" t="s">
        <v>29</v>
      </c>
      <c r="F5" s="4"/>
      <c r="G5" s="4"/>
      <c r="H5" s="4"/>
      <c r="I5" s="4"/>
    </row>
    <row r="6" spans="1:9" ht="14.25" thickBot="1">
      <c r="A6" s="13" t="s">
        <v>30</v>
      </c>
      <c r="B6" s="14">
        <v>40</v>
      </c>
      <c r="C6" s="14">
        <v>20</v>
      </c>
      <c r="D6" s="14">
        <v>50</v>
      </c>
      <c r="E6" s="14">
        <v>60</v>
      </c>
      <c r="F6" s="4"/>
      <c r="G6" s="4"/>
      <c r="H6" s="4"/>
      <c r="I6" s="4"/>
    </row>
    <row r="7" spans="1:9" ht="14.25" thickBot="1">
      <c r="A7" s="13" t="s">
        <v>35</v>
      </c>
      <c r="B7" s="14">
        <v>23</v>
      </c>
      <c r="C7" s="14">
        <v>12</v>
      </c>
      <c r="D7" s="14">
        <v>25</v>
      </c>
      <c r="E7" s="14">
        <v>28</v>
      </c>
      <c r="F7" s="4"/>
      <c r="G7" s="4"/>
      <c r="H7" s="4"/>
      <c r="I7" s="4"/>
    </row>
    <row r="8" spans="6:9" ht="13.5">
      <c r="F8" s="4"/>
      <c r="G8" s="4"/>
      <c r="H8" s="4"/>
      <c r="I8" s="4"/>
    </row>
    <row r="9" spans="6:9" ht="13.5">
      <c r="F9" s="4"/>
      <c r="G9" s="4"/>
      <c r="H9" s="4"/>
      <c r="I9" s="4"/>
    </row>
    <row r="10" spans="8:9" ht="13.5">
      <c r="H10" s="4"/>
      <c r="I10" s="4"/>
    </row>
    <row r="11" spans="5:9" ht="13.5">
      <c r="E11" s="4"/>
      <c r="F11" s="4"/>
      <c r="G11" s="4"/>
      <c r="H11" s="4"/>
      <c r="I11" s="4"/>
    </row>
    <row r="12" spans="2:8" ht="14.25" thickBot="1">
      <c r="B12" s="1">
        <v>0</v>
      </c>
      <c r="C12" s="1">
        <v>1</v>
      </c>
      <c r="D12" s="1">
        <v>2</v>
      </c>
      <c r="E12" s="2">
        <v>3</v>
      </c>
      <c r="F12" s="2">
        <v>4</v>
      </c>
      <c r="G12" s="2">
        <v>5</v>
      </c>
      <c r="H12" s="2">
        <v>6</v>
      </c>
    </row>
    <row r="13" spans="2:8" ht="15.75" thickBot="1">
      <c r="B13" s="6">
        <v>2018</v>
      </c>
      <c r="C13" s="6">
        <v>2019</v>
      </c>
      <c r="D13" s="6">
        <v>2020</v>
      </c>
      <c r="E13" s="6">
        <v>2021</v>
      </c>
      <c r="F13" s="6">
        <v>2022</v>
      </c>
      <c r="G13" s="6">
        <v>2023</v>
      </c>
      <c r="H13" s="6">
        <v>2024</v>
      </c>
    </row>
    <row r="15" ht="13.5">
      <c r="A15" s="3" t="s">
        <v>0</v>
      </c>
    </row>
    <row r="16" spans="1:5" ht="13.5">
      <c r="A16" s="3" t="s">
        <v>36</v>
      </c>
      <c r="C16" s="3">
        <f>220000*($D$6)</f>
        <v>11000000</v>
      </c>
      <c r="D16" s="3">
        <f>220000*($D$6)</f>
        <v>11000000</v>
      </c>
      <c r="E16" s="3">
        <f>220000*($D$6)</f>
        <v>11000000</v>
      </c>
    </row>
    <row r="17" spans="1:5" ht="13.5">
      <c r="A17" s="3" t="s">
        <v>0</v>
      </c>
      <c r="C17" s="3">
        <f>SUM(C16:C16)</f>
        <v>11000000</v>
      </c>
      <c r="D17" s="3">
        <f>SUM(D16:D16)</f>
        <v>11000000</v>
      </c>
      <c r="E17" s="3">
        <f>SUM(E16:E16)</f>
        <v>11000000</v>
      </c>
    </row>
    <row r="19" ht="13.5">
      <c r="A19" s="3" t="s">
        <v>1</v>
      </c>
    </row>
    <row r="20" spans="1:10" ht="13.5">
      <c r="A20" s="3" t="s">
        <v>39</v>
      </c>
      <c r="C20" s="3">
        <f>220000*($D$7)</f>
        <v>5500000</v>
      </c>
      <c r="D20" s="3">
        <f>220000*($D$7)</f>
        <v>5500000</v>
      </c>
      <c r="E20" s="3">
        <f>220000*($D$7)</f>
        <v>5500000</v>
      </c>
      <c r="I20" s="3" t="s">
        <v>20</v>
      </c>
      <c r="J20" s="3">
        <v>800000</v>
      </c>
    </row>
    <row r="21" spans="1:10" ht="13.5">
      <c r="A21" s="3" t="s">
        <v>16</v>
      </c>
      <c r="C21" s="3">
        <f>J22</f>
        <v>80000</v>
      </c>
      <c r="D21" s="3">
        <f>C21</f>
        <v>80000</v>
      </c>
      <c r="E21" s="3">
        <f>D21</f>
        <v>80000</v>
      </c>
      <c r="I21" s="3" t="s">
        <v>21</v>
      </c>
      <c r="J21" s="3">
        <v>10</v>
      </c>
    </row>
    <row r="22" spans="1:10" ht="13.5">
      <c r="A22" s="3" t="s">
        <v>40</v>
      </c>
      <c r="C22" s="3">
        <v>30000</v>
      </c>
      <c r="D22" s="3">
        <v>30000</v>
      </c>
      <c r="E22" s="3">
        <v>30000</v>
      </c>
      <c r="I22" s="3" t="s">
        <v>22</v>
      </c>
      <c r="J22" s="3">
        <f>J20/J21</f>
        <v>80000</v>
      </c>
    </row>
    <row r="23" spans="1:5" ht="13.5">
      <c r="A23" s="3" t="s">
        <v>41</v>
      </c>
      <c r="C23" s="3">
        <f>J25*J24</f>
        <v>9600</v>
      </c>
      <c r="D23" s="3">
        <f>C23</f>
        <v>9600</v>
      </c>
      <c r="E23" s="3">
        <f>D23</f>
        <v>9600</v>
      </c>
    </row>
    <row r="24" spans="9:10" ht="13.5">
      <c r="I24" s="3" t="s">
        <v>45</v>
      </c>
      <c r="J24" s="3">
        <v>0.04</v>
      </c>
    </row>
    <row r="25" spans="1:10" ht="13.5">
      <c r="A25" s="3" t="s">
        <v>2</v>
      </c>
      <c r="C25" s="3">
        <f>SUM(C20:C24)</f>
        <v>5619600</v>
      </c>
      <c r="D25" s="3">
        <f>SUM(D20:D24)</f>
        <v>5619600</v>
      </c>
      <c r="E25" s="3">
        <f>SUM(E20:E24)</f>
        <v>5619600</v>
      </c>
      <c r="I25" s="3" t="s">
        <v>44</v>
      </c>
      <c r="J25" s="3">
        <f>J20*0.3</f>
        <v>240000</v>
      </c>
    </row>
    <row r="27" spans="1:10" ht="13.5">
      <c r="A27" s="3" t="s">
        <v>3</v>
      </c>
      <c r="C27" s="3">
        <f>C17-C25</f>
        <v>5380400</v>
      </c>
      <c r="D27" s="3">
        <f>D17-D25</f>
        <v>5380400</v>
      </c>
      <c r="E27" s="3">
        <f>E17-E25</f>
        <v>5380400</v>
      </c>
      <c r="I27" s="3" t="s">
        <v>23</v>
      </c>
      <c r="J27" s="3">
        <v>0.4</v>
      </c>
    </row>
    <row r="29" spans="1:5" ht="13.5">
      <c r="A29" s="3" t="s">
        <v>4</v>
      </c>
      <c r="C29" s="3">
        <f>C27*$J$27</f>
        <v>2152160</v>
      </c>
      <c r="D29" s="3">
        <f>D27*$J$27</f>
        <v>2152160</v>
      </c>
      <c r="E29" s="3">
        <f>E27*$J$27</f>
        <v>2152160</v>
      </c>
    </row>
    <row r="31" spans="1:5" ht="13.5">
      <c r="A31" s="3" t="s">
        <v>5</v>
      </c>
      <c r="C31" s="3">
        <f>C27-C29</f>
        <v>3228240</v>
      </c>
      <c r="D31" s="3">
        <f>D27-D29</f>
        <v>3228240</v>
      </c>
      <c r="E31" s="3">
        <f>E27-E29</f>
        <v>3228240</v>
      </c>
    </row>
    <row r="33" spans="1:5" ht="13.5">
      <c r="A33" s="3" t="s">
        <v>6</v>
      </c>
      <c r="C33" s="3">
        <f>C21</f>
        <v>80000</v>
      </c>
      <c r="D33" s="3">
        <f>D21</f>
        <v>80000</v>
      </c>
      <c r="E33" s="3">
        <f>E21</f>
        <v>80000</v>
      </c>
    </row>
    <row r="35" spans="1:5" ht="13.5">
      <c r="A35" s="3" t="s">
        <v>7</v>
      </c>
      <c r="C35" s="3">
        <f>C31+C33</f>
        <v>3308240</v>
      </c>
      <c r="D35" s="3">
        <f>D31+D33</f>
        <v>3308240</v>
      </c>
      <c r="E35" s="3">
        <f>E31+E33</f>
        <v>3308240</v>
      </c>
    </row>
    <row r="37" spans="1:3" ht="13.5">
      <c r="A37" s="3" t="s">
        <v>8</v>
      </c>
      <c r="C37" s="3">
        <v>800000</v>
      </c>
    </row>
    <row r="39" spans="1:5" ht="13.5">
      <c r="A39" s="3" t="s">
        <v>46</v>
      </c>
      <c r="C39" s="3">
        <f>0.05*C16</f>
        <v>550000</v>
      </c>
      <c r="D39" s="3">
        <f>0.05*D16</f>
        <v>550000</v>
      </c>
      <c r="E39" s="3">
        <f>0.05*E16</f>
        <v>550000</v>
      </c>
    </row>
    <row r="40" spans="1:5" ht="13.5">
      <c r="A40" s="3" t="s">
        <v>17</v>
      </c>
      <c r="C40" s="3">
        <f>C39</f>
        <v>550000</v>
      </c>
      <c r="D40" s="3">
        <f>D39</f>
        <v>550000</v>
      </c>
      <c r="E40" s="3">
        <f>E39</f>
        <v>550000</v>
      </c>
    </row>
    <row r="41" spans="1:6" ht="13.5">
      <c r="A41" s="3" t="s">
        <v>9</v>
      </c>
      <c r="C41" s="3">
        <f>C40-B40</f>
        <v>550000</v>
      </c>
      <c r="D41" s="3">
        <f>D40-C40</f>
        <v>0</v>
      </c>
      <c r="E41" s="3">
        <f>E40-D40</f>
        <v>0</v>
      </c>
      <c r="F41" s="3">
        <f>F40-E40</f>
        <v>-550000</v>
      </c>
    </row>
    <row r="43" spans="1:5" ht="13.5">
      <c r="A43" s="3" t="s">
        <v>44</v>
      </c>
      <c r="C43" s="3">
        <v>240000</v>
      </c>
      <c r="E43" s="3">
        <f>-J25</f>
        <v>-240000</v>
      </c>
    </row>
    <row r="46" spans="1:6" ht="13.5">
      <c r="A46" s="3" t="s">
        <v>10</v>
      </c>
      <c r="C46" s="3">
        <f>C35-C37-C41+C43</f>
        <v>2198240</v>
      </c>
      <c r="D46" s="3">
        <f>D35-D37-D41+D43</f>
        <v>3308240</v>
      </c>
      <c r="E46" s="3">
        <f>E35-E37-E41+E43</f>
        <v>3068240</v>
      </c>
      <c r="F46" s="3">
        <f>F35-F37-F41+F43</f>
        <v>550000</v>
      </c>
    </row>
    <row r="48" spans="1:5" ht="13.5">
      <c r="A48" s="3" t="s">
        <v>18</v>
      </c>
      <c r="E48" s="3">
        <f>E49*0.4</f>
        <v>224000</v>
      </c>
    </row>
    <row r="49" spans="1:5" ht="13.5">
      <c r="A49" s="3" t="s">
        <v>19</v>
      </c>
      <c r="E49" s="3">
        <f>J20-SUM(C21:G21)</f>
        <v>560000</v>
      </c>
    </row>
    <row r="50" spans="1:5" ht="13.5">
      <c r="A50" s="3" t="s">
        <v>54</v>
      </c>
      <c r="E50" s="3">
        <f>E48-(E48-E49)*J27</f>
        <v>358400</v>
      </c>
    </row>
    <row r="52" spans="1:2" ht="13.5">
      <c r="A52" s="3" t="s">
        <v>52</v>
      </c>
      <c r="B52" s="3">
        <f>0.06</f>
        <v>0.06</v>
      </c>
    </row>
    <row r="53" spans="1:2" ht="13.5">
      <c r="A53" s="3" t="s">
        <v>13</v>
      </c>
      <c r="B53" s="3">
        <v>0.02</v>
      </c>
    </row>
    <row r="54" spans="1:7" ht="13.5">
      <c r="A54" s="3" t="s">
        <v>14</v>
      </c>
      <c r="B54" s="3">
        <f aca="true" t="shared" si="0" ref="B54:G54">POWER((1+$B$53),($G$12-B12))</f>
        <v>1.1040808032</v>
      </c>
      <c r="C54" s="3">
        <f t="shared" si="0"/>
        <v>1.08243216</v>
      </c>
      <c r="D54" s="3">
        <f t="shared" si="0"/>
        <v>1.061208</v>
      </c>
      <c r="E54" s="3">
        <f t="shared" si="0"/>
        <v>1.0404</v>
      </c>
      <c r="F54" s="3">
        <f t="shared" si="0"/>
        <v>1.02</v>
      </c>
      <c r="G54" s="3">
        <f t="shared" si="0"/>
        <v>1</v>
      </c>
    </row>
    <row r="55" spans="1:2" ht="13.5">
      <c r="A55" s="3" t="s">
        <v>11</v>
      </c>
      <c r="B55" s="3">
        <f>POWER((1+B52),5)</f>
        <v>1.3382255776000005</v>
      </c>
    </row>
    <row r="56" spans="1:6" ht="13.5">
      <c r="A56" s="3" t="s">
        <v>15</v>
      </c>
      <c r="C56" s="3">
        <f>C46*C54</f>
        <v>2379445.6713984</v>
      </c>
      <c r="D56" s="3">
        <f>D46*D54</f>
        <v>3510730.7539199996</v>
      </c>
      <c r="E56" s="3">
        <f>E46*E54</f>
        <v>3192196.896</v>
      </c>
      <c r="F56" s="3">
        <f>F46*F54</f>
        <v>561000</v>
      </c>
    </row>
    <row r="57" spans="1:5" ht="13.5">
      <c r="A57" s="3" t="s">
        <v>24</v>
      </c>
      <c r="E57" s="3">
        <f>E50*E54</f>
        <v>372879.36</v>
      </c>
    </row>
    <row r="59" spans="1:2" ht="13.5">
      <c r="A59" s="3" t="s">
        <v>12</v>
      </c>
      <c r="B59" s="3">
        <f>SUM(C56:F57)/B55</f>
        <v>7484726.67760673</v>
      </c>
    </row>
  </sheetData>
  <sheetProtection/>
  <printOptions/>
  <pageMargins left="0.7" right="0.7" top="0.75" bottom="0.75" header="0.3" footer="0.3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LIUC</dc:creator>
  <cp:keywords/>
  <dc:description/>
  <cp:lastModifiedBy>xxx</cp:lastModifiedBy>
  <cp:lastPrinted>2015-05-06T07:13:31Z</cp:lastPrinted>
  <dcterms:created xsi:type="dcterms:W3CDTF">2002-04-11T11:01:24Z</dcterms:created>
  <dcterms:modified xsi:type="dcterms:W3CDTF">2018-11-27T15:21:46Z</dcterms:modified>
  <cp:category/>
  <cp:version/>
  <cp:contentType/>
  <cp:contentStatus/>
</cp:coreProperties>
</file>