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Martina\Desktop\DIDATTICA\MPHR\AY 2018-19\Exercise_Financial accounting\Index Analysis\"/>
    </mc:Choice>
  </mc:AlternateContent>
  <xr:revisionPtr revIDLastSave="0" documentId="13_ncr:1_{0B67BD5C-8C76-459E-B7ED-731AAA4E7F47}" xr6:coauthVersionLast="37" xr6:coauthVersionMax="37" xr10:uidLastSave="{00000000-0000-0000-0000-000000000000}"/>
  <bookViews>
    <workbookView xWindow="0" yWindow="0" windowWidth="19200" windowHeight="6618" xr2:uid="{E7A8F661-2AF6-4FF2-9C4E-1BA60B4044EB}"/>
  </bookViews>
  <sheets>
    <sheet name="Foglio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1" l="1"/>
  <c r="F6" i="1"/>
  <c r="D6" i="1"/>
  <c r="F7" i="1" l="1"/>
  <c r="D7" i="1"/>
  <c r="F21" i="1" l="1"/>
  <c r="D21" i="1"/>
  <c r="D18" i="1" l="1"/>
  <c r="F20" i="1"/>
  <c r="D20" i="1"/>
  <c r="F19" i="1"/>
  <c r="D19" i="1"/>
  <c r="F18" i="1"/>
  <c r="F17" i="1"/>
  <c r="D17" i="1"/>
  <c r="F16" i="1"/>
  <c r="D16" i="1"/>
  <c r="D15" i="1"/>
  <c r="F15" i="1"/>
  <c r="F14" i="1"/>
  <c r="D14" i="1"/>
  <c r="F13" i="1"/>
  <c r="D13" i="1"/>
  <c r="F12" i="1"/>
  <c r="D12" i="1"/>
  <c r="F11" i="1"/>
  <c r="D11" i="1"/>
  <c r="F10" i="1"/>
  <c r="D10" i="1"/>
  <c r="F9" i="1"/>
  <c r="D9" i="1"/>
  <c r="F8" i="1"/>
  <c r="D8" i="1"/>
  <c r="F5" i="1"/>
  <c r="F4" i="1"/>
  <c r="D4" i="1"/>
  <c r="D3" i="1"/>
  <c r="F3" i="1"/>
</calcChain>
</file>

<file path=xl/sharedStrings.xml><?xml version="1.0" encoding="utf-8"?>
<sst xmlns="http://schemas.openxmlformats.org/spreadsheetml/2006/main" count="83" uniqueCount="79">
  <si>
    <t>ROE</t>
  </si>
  <si>
    <t>ROI</t>
  </si>
  <si>
    <t>r</t>
  </si>
  <si>
    <t>D/E</t>
  </si>
  <si>
    <t>ROS</t>
  </si>
  <si>
    <t>RA</t>
  </si>
  <si>
    <t>Index</t>
  </si>
  <si>
    <t>Values</t>
  </si>
  <si>
    <t>Comments</t>
  </si>
  <si>
    <t>2010/359717</t>
  </si>
  <si>
    <t>15383/349483</t>
  </si>
  <si>
    <t>12834/714822</t>
  </si>
  <si>
    <t>30142/669992</t>
  </si>
  <si>
    <t>ROI* (+ interest income)</t>
  </si>
  <si>
    <t>12834 + 6075/714822</t>
  </si>
  <si>
    <t>30142+7374/669992</t>
  </si>
  <si>
    <t>355105/359717</t>
  </si>
  <si>
    <t>320509/349483</t>
  </si>
  <si>
    <t>12834/900763</t>
  </si>
  <si>
    <t>30142/884529</t>
  </si>
  <si>
    <t>884529/669992</t>
  </si>
  <si>
    <t>900763/714822</t>
  </si>
  <si>
    <t>Gross profit/Net Sales</t>
  </si>
  <si>
    <t>Cost of sales/Net  Sales</t>
  </si>
  <si>
    <t>Selling and distribution costs/Net Sales</t>
  </si>
  <si>
    <t>General and administrative expenses/Net Sales</t>
  </si>
  <si>
    <t>Avertising and promotion/Net Sales</t>
  </si>
  <si>
    <t>Net Sales/PPE</t>
  </si>
  <si>
    <t>Net Sales/Intangible Assets</t>
  </si>
  <si>
    <t>(Accounts receivables/net sales)*360</t>
  </si>
  <si>
    <t>PROFITABILITY ANALYSIS</t>
  </si>
  <si>
    <t>LIQUIDITY ANALYSIS</t>
  </si>
  <si>
    <t>Current assets/current liabilities</t>
  </si>
  <si>
    <t>Current assets - inventories/current liabilities</t>
  </si>
  <si>
    <t>CAPITAL ANALYSIS</t>
  </si>
  <si>
    <t>Equity/tot assets</t>
  </si>
  <si>
    <t>427615/884529</t>
  </si>
  <si>
    <t>429449/900763</t>
  </si>
  <si>
    <t>456914/884529</t>
  </si>
  <si>
    <t>471314/900763</t>
  </si>
  <si>
    <t>49557/900763</t>
  </si>
  <si>
    <t>47268/884529</t>
  </si>
  <si>
    <t>324987/900763</t>
  </si>
  <si>
    <t>317624/884529</t>
  </si>
  <si>
    <t>36798/900763</t>
  </si>
  <si>
    <t>22561/884529</t>
  </si>
  <si>
    <t>900763/66140</t>
  </si>
  <si>
    <t>884529/61326</t>
  </si>
  <si>
    <t>900763/54715</t>
  </si>
  <si>
    <t>884529/52061</t>
  </si>
  <si>
    <t>(111417/900763)*360</t>
  </si>
  <si>
    <t>(120356/884529)*360</t>
  </si>
  <si>
    <t>543260/313397</t>
  </si>
  <si>
    <t>506677/289300</t>
  </si>
  <si>
    <t>(543260-336767)/313397</t>
  </si>
  <si>
    <t>(506677-238227)/289300</t>
  </si>
  <si>
    <t>Improvement of ROE</t>
  </si>
  <si>
    <t xml:space="preserve">In fact, also AR increses between 2016 and 2017.  Both in 2016 and 2017 rotation is higher that 1. </t>
  </si>
  <si>
    <t xml:space="preserve">Financial activities seems not to be relevant to explain the different value of ROI. In fact the company is probably focused on its core business, probably, till 2017, the GEOX did not have much "liquidity" to invest beyond the core business. </t>
  </si>
  <si>
    <t xml:space="preserve">r is lower than ROI and (ROI*) favoring a virtuous functioning of the financial leverage. </t>
  </si>
  <si>
    <t>The level of indebteness slowly decreases between the two years</t>
  </si>
  <si>
    <t>The profitability of sales increased, but lower compared to the different value of ROI. So we can assume taht also AR improves betwen the two years</t>
  </si>
  <si>
    <t>This is the typical productive component of the index analysis</t>
  </si>
  <si>
    <t>Not highly different values</t>
  </si>
  <si>
    <t>Not highly different values, but it is important to notice that the values of index rotation are generally high, probably because there are low fixed investement with respect to net sales.</t>
  </si>
  <si>
    <t>It increases</t>
  </si>
  <si>
    <t xml:space="preserve">Current ration igher than 1. Therefore it means that there are more assests that are transformed into cash wioth respect to liabilities "payable" in the short time period. </t>
  </si>
  <si>
    <t>359717/714822</t>
  </si>
  <si>
    <t>349483/669992</t>
  </si>
  <si>
    <t>General equilibrium</t>
  </si>
  <si>
    <t>Analysis</t>
  </si>
  <si>
    <t>s (GROSS PROFIT= PBT)</t>
  </si>
  <si>
    <t>2010/7278</t>
  </si>
  <si>
    <t>15383/26750</t>
  </si>
  <si>
    <t>taxes reduce the operating results, as it is normal</t>
  </si>
  <si>
    <t xml:space="preserve">The higher value of ROE seems to depend from the operational managerial aera, in fact the ROI 2017 is much more higher than that of 2016. In 2017 Net Income increases, while assets decrease. </t>
  </si>
  <si>
    <t>11535/355105</t>
  </si>
  <si>
    <t>10513/320509</t>
  </si>
  <si>
    <t xml:space="preserve">Higher administrative costs in 2016, but related to the opening of new stores, therefore probably aimed at increassing future profits.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</si>
</sst>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164" fontId="0" fillId="0" borderId="2" xfId="0" applyNumberFormat="1" applyBorder="1" applyAlignment="1">
      <alignment vertical="center" wrapText="1"/>
    </xf>
    <xf numFmtId="0" fontId="0" fillId="2" borderId="7" xfId="0" applyFill="1" applyBorder="1" applyAlignment="1">
      <alignment vertical="center" wrapText="1"/>
    </xf>
    <xf numFmtId="0" fontId="0" fillId="0" borderId="7" xfId="0" applyBorder="1" applyAlignment="1">
      <alignment vertical="center" wrapText="1"/>
    </xf>
    <xf numFmtId="164" fontId="0" fillId="0" borderId="7" xfId="0" applyNumberFormat="1" applyBorder="1" applyAlignment="1">
      <alignment vertical="center" wrapText="1"/>
    </xf>
    <xf numFmtId="0" fontId="0" fillId="2" borderId="1" xfId="0" applyFill="1" applyBorder="1" applyAlignment="1">
      <alignment vertical="center" wrapText="1"/>
    </xf>
    <xf numFmtId="2" fontId="0" fillId="0" borderId="1" xfId="0" applyNumberFormat="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0" fillId="4" borderId="10" xfId="0" applyFill="1" applyBorder="1" applyAlignment="1">
      <alignment vertical="center" wrapText="1"/>
    </xf>
    <xf numFmtId="0" fontId="0" fillId="0" borderId="10" xfId="0" applyBorder="1" applyAlignment="1">
      <alignment vertical="center" wrapText="1"/>
    </xf>
    <xf numFmtId="2" fontId="0" fillId="0" borderId="10" xfId="0" applyNumberFormat="1" applyBorder="1" applyAlignment="1">
      <alignment vertical="center" wrapText="1"/>
    </xf>
    <xf numFmtId="0" fontId="0" fillId="0" borderId="7" xfId="0" applyFill="1" applyBorder="1" applyAlignment="1">
      <alignment vertical="center" wrapText="1"/>
    </xf>
    <xf numFmtId="2" fontId="0" fillId="0" borderId="7" xfId="0" applyNumberFormat="1" applyBorder="1" applyAlignment="1">
      <alignment vertical="center" wrapText="1"/>
    </xf>
    <xf numFmtId="0" fontId="0" fillId="0" borderId="10" xfId="0" applyFill="1" applyBorder="1" applyAlignment="1">
      <alignment vertical="center" wrapText="1"/>
    </xf>
    <xf numFmtId="2" fontId="0" fillId="0" borderId="0" xfId="0" applyNumberFormat="1" applyAlignment="1">
      <alignment vertical="center" wrapText="1"/>
    </xf>
    <xf numFmtId="2" fontId="0" fillId="0" borderId="0" xfId="1" applyNumberFormat="1" applyFont="1" applyAlignment="1">
      <alignment vertical="center" wrapText="1"/>
    </xf>
    <xf numFmtId="0" fontId="0" fillId="0" borderId="3" xfId="0" applyBorder="1" applyAlignment="1">
      <alignment vertical="center" wrapText="1"/>
    </xf>
    <xf numFmtId="0" fontId="0" fillId="0" borderId="4" xfId="0" applyFill="1" applyBorder="1" applyAlignment="1">
      <alignment vertical="center" wrapText="1"/>
    </xf>
    <xf numFmtId="0" fontId="0" fillId="0" borderId="4" xfId="0" applyBorder="1" applyAlignment="1">
      <alignment vertical="center" wrapText="1"/>
    </xf>
    <xf numFmtId="2" fontId="0" fillId="0" borderId="4" xfId="0" applyNumberFormat="1" applyBorder="1" applyAlignment="1">
      <alignment vertical="center" wrapText="1"/>
    </xf>
    <xf numFmtId="164" fontId="0" fillId="0" borderId="0" xfId="0" applyNumberFormat="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0" fillId="0" borderId="1" xfId="0" applyFill="1" applyBorder="1" applyAlignment="1">
      <alignment vertical="center" wrapText="1"/>
    </xf>
    <xf numFmtId="2" fontId="0" fillId="0" borderId="1" xfId="0" applyNumberFormat="1" applyFill="1"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2" fillId="0" borderId="14" xfId="0" applyFont="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30617-648A-46F7-84D8-456D5E2348EC}">
  <dimension ref="A1:G21"/>
  <sheetViews>
    <sheetView tabSelected="1" topLeftCell="B1" workbookViewId="0">
      <selection activeCell="G14" sqref="G14"/>
    </sheetView>
  </sheetViews>
  <sheetFormatPr defaultRowHeight="14.4" x14ac:dyDescent="0.55000000000000004"/>
  <cols>
    <col min="1" max="1" width="20.26171875" style="3" bestFit="1" customWidth="1"/>
    <col min="2" max="2" width="37.7890625" style="3" bestFit="1" customWidth="1"/>
    <col min="3" max="3" width="21.3125" style="3" bestFit="1" customWidth="1"/>
    <col min="4" max="4" width="21.15625" style="25" customWidth="1"/>
    <col min="5" max="5" width="21.3125" style="3" bestFit="1" customWidth="1"/>
    <col min="6" max="6" width="11.68359375" style="25" bestFit="1" customWidth="1"/>
    <col min="7" max="7" width="43.9453125" style="32" customWidth="1"/>
    <col min="8" max="16384" width="8.83984375" style="3"/>
  </cols>
  <sheetData>
    <row r="1" spans="1:7" x14ac:dyDescent="0.55000000000000004">
      <c r="A1" s="1"/>
      <c r="B1" s="1"/>
      <c r="C1" s="1">
        <v>2016</v>
      </c>
      <c r="D1" s="2"/>
      <c r="E1" s="1">
        <v>2017</v>
      </c>
      <c r="F1" s="2"/>
      <c r="G1" s="26" t="s">
        <v>8</v>
      </c>
    </row>
    <row r="2" spans="1:7" ht="14.7" thickBot="1" x14ac:dyDescent="0.6">
      <c r="A2" s="4" t="s">
        <v>70</v>
      </c>
      <c r="B2" s="4" t="s">
        <v>6</v>
      </c>
      <c r="C2" s="4" t="s">
        <v>7</v>
      </c>
      <c r="D2" s="5" t="s">
        <v>6</v>
      </c>
      <c r="E2" s="4" t="s">
        <v>7</v>
      </c>
      <c r="F2" s="5" t="s">
        <v>6</v>
      </c>
      <c r="G2" s="27"/>
    </row>
    <row r="3" spans="1:7" x14ac:dyDescent="0.55000000000000004">
      <c r="A3" s="35" t="s">
        <v>30</v>
      </c>
      <c r="B3" s="6" t="s">
        <v>0</v>
      </c>
      <c r="C3" s="7" t="s">
        <v>9</v>
      </c>
      <c r="D3" s="8">
        <f>2010/359717</f>
        <v>5.5877259067544762E-3</v>
      </c>
      <c r="E3" s="7" t="s">
        <v>10</v>
      </c>
      <c r="F3" s="8">
        <f>15383/349483</f>
        <v>4.401644715193586E-2</v>
      </c>
      <c r="G3" s="28" t="s">
        <v>56</v>
      </c>
    </row>
    <row r="4" spans="1:7" ht="51.6" x14ac:dyDescent="0.55000000000000004">
      <c r="A4" s="36"/>
      <c r="B4" s="9" t="s">
        <v>1</v>
      </c>
      <c r="C4" s="1" t="s">
        <v>11</v>
      </c>
      <c r="D4" s="2">
        <f>12834/714822</f>
        <v>1.7954120046668961E-2</v>
      </c>
      <c r="E4" s="1" t="s">
        <v>12</v>
      </c>
      <c r="F4" s="2">
        <f>30142/669992</f>
        <v>4.4988596878768702E-2</v>
      </c>
      <c r="G4" s="29" t="s">
        <v>75</v>
      </c>
    </row>
    <row r="5" spans="1:7" ht="64.5" x14ac:dyDescent="0.55000000000000004">
      <c r="A5" s="36"/>
      <c r="B5" s="9" t="s">
        <v>13</v>
      </c>
      <c r="C5" s="1" t="s">
        <v>14</v>
      </c>
      <c r="D5" s="2">
        <f>(12834+6075)/714822</f>
        <v>2.6452739283346065E-2</v>
      </c>
      <c r="E5" s="1" t="s">
        <v>15</v>
      </c>
      <c r="F5" s="2">
        <f>(30142+7374)/669992</f>
        <v>5.599469844416053E-2</v>
      </c>
      <c r="G5" s="29" t="s">
        <v>58</v>
      </c>
    </row>
    <row r="6" spans="1:7" ht="25.8" x14ac:dyDescent="0.55000000000000004">
      <c r="A6" s="36"/>
      <c r="B6" s="9" t="s">
        <v>2</v>
      </c>
      <c r="C6" s="1" t="s">
        <v>76</v>
      </c>
      <c r="D6" s="2">
        <f>11535/355105</f>
        <v>3.2483349995071881E-2</v>
      </c>
      <c r="E6" s="1" t="s">
        <v>77</v>
      </c>
      <c r="F6" s="2">
        <f>10513/320509</f>
        <v>3.2800950987335771E-2</v>
      </c>
      <c r="G6" s="29" t="s">
        <v>59</v>
      </c>
    </row>
    <row r="7" spans="1:7" x14ac:dyDescent="0.55000000000000004">
      <c r="A7" s="36"/>
      <c r="B7" s="9" t="s">
        <v>71</v>
      </c>
      <c r="C7" s="33" t="s">
        <v>72</v>
      </c>
      <c r="D7" s="34">
        <f>2010/7278</f>
        <v>0.27617477328936518</v>
      </c>
      <c r="E7" s="33" t="s">
        <v>73</v>
      </c>
      <c r="F7" s="34">
        <f>15383/26750</f>
        <v>0.57506542056074761</v>
      </c>
      <c r="G7" s="29" t="s">
        <v>74</v>
      </c>
    </row>
    <row r="8" spans="1:7" ht="25.8" x14ac:dyDescent="0.55000000000000004">
      <c r="A8" s="36"/>
      <c r="B8" s="9" t="s">
        <v>3</v>
      </c>
      <c r="C8" s="1" t="s">
        <v>16</v>
      </c>
      <c r="D8" s="10">
        <f>355105/359717</f>
        <v>0.98717881000897933</v>
      </c>
      <c r="E8" s="1" t="s">
        <v>17</v>
      </c>
      <c r="F8" s="10">
        <f>320509/349483</f>
        <v>0.9170946798556725</v>
      </c>
      <c r="G8" s="29" t="s">
        <v>60</v>
      </c>
    </row>
    <row r="9" spans="1:7" ht="38.700000000000003" x14ac:dyDescent="0.55000000000000004">
      <c r="A9" s="36"/>
      <c r="B9" s="11" t="s">
        <v>4</v>
      </c>
      <c r="C9" s="1" t="s">
        <v>18</v>
      </c>
      <c r="D9" s="2">
        <f>12834/900763</f>
        <v>1.4247920929256641E-2</v>
      </c>
      <c r="E9" s="1" t="s">
        <v>19</v>
      </c>
      <c r="F9" s="2">
        <f>30142/884529</f>
        <v>3.4076892900063195E-2</v>
      </c>
      <c r="G9" s="29" t="s">
        <v>61</v>
      </c>
    </row>
    <row r="10" spans="1:7" ht="25.8" x14ac:dyDescent="0.55000000000000004">
      <c r="A10" s="36"/>
      <c r="B10" s="12" t="s">
        <v>5</v>
      </c>
      <c r="C10" s="1" t="s">
        <v>21</v>
      </c>
      <c r="D10" s="10">
        <f>900763/714822</f>
        <v>1.2601221003270744</v>
      </c>
      <c r="E10" s="1" t="s">
        <v>20</v>
      </c>
      <c r="F10" s="10">
        <f>884529/669992</f>
        <v>1.3202083009946388</v>
      </c>
      <c r="G10" s="29" t="s">
        <v>57</v>
      </c>
    </row>
    <row r="11" spans="1:7" x14ac:dyDescent="0.55000000000000004">
      <c r="A11" s="36"/>
      <c r="B11" s="11" t="s">
        <v>22</v>
      </c>
      <c r="C11" s="1" t="s">
        <v>37</v>
      </c>
      <c r="D11" s="2">
        <f>429449/900763</f>
        <v>0.47676136786257872</v>
      </c>
      <c r="E11" s="1" t="s">
        <v>36</v>
      </c>
      <c r="F11" s="2">
        <f>427615/884529</f>
        <v>0.48343807834452007</v>
      </c>
      <c r="G11" s="29" t="s">
        <v>63</v>
      </c>
    </row>
    <row r="12" spans="1:7" ht="25.8" x14ac:dyDescent="0.55000000000000004">
      <c r="A12" s="36"/>
      <c r="B12" s="11" t="s">
        <v>23</v>
      </c>
      <c r="C12" s="1" t="s">
        <v>39</v>
      </c>
      <c r="D12" s="2">
        <f>471314/900763</f>
        <v>0.52323863213742128</v>
      </c>
      <c r="E12" s="1" t="s">
        <v>38</v>
      </c>
      <c r="F12" s="2">
        <f>456914/884529</f>
        <v>0.51656192165547987</v>
      </c>
      <c r="G12" s="29" t="s">
        <v>62</v>
      </c>
    </row>
    <row r="13" spans="1:7" x14ac:dyDescent="0.55000000000000004">
      <c r="A13" s="36"/>
      <c r="B13" s="11" t="s">
        <v>24</v>
      </c>
      <c r="C13" s="1" t="s">
        <v>40</v>
      </c>
      <c r="D13" s="2">
        <f>49557/900763</f>
        <v>5.5016691404953355E-2</v>
      </c>
      <c r="E13" s="1" t="s">
        <v>41</v>
      </c>
      <c r="F13" s="2">
        <f>47268/884529</f>
        <v>5.3438609700755993E-2</v>
      </c>
      <c r="G13" s="29" t="s">
        <v>63</v>
      </c>
    </row>
    <row r="14" spans="1:7" ht="38.700000000000003" x14ac:dyDescent="0.55000000000000004">
      <c r="A14" s="36"/>
      <c r="B14" s="11" t="s">
        <v>25</v>
      </c>
      <c r="C14" s="1" t="s">
        <v>42</v>
      </c>
      <c r="D14" s="2">
        <f>324987/900763</f>
        <v>0.36079079624718158</v>
      </c>
      <c r="E14" s="1" t="s">
        <v>43</v>
      </c>
      <c r="F14" s="2">
        <f>317624/884529</f>
        <v>0.35908828314277996</v>
      </c>
      <c r="G14" s="29" t="s">
        <v>78</v>
      </c>
    </row>
    <row r="15" spans="1:7" x14ac:dyDescent="0.55000000000000004">
      <c r="A15" s="36"/>
      <c r="B15" s="11" t="s">
        <v>26</v>
      </c>
      <c r="C15" s="1" t="s">
        <v>44</v>
      </c>
      <c r="D15" s="2">
        <f>36798/900763</f>
        <v>4.0852033220725094E-2</v>
      </c>
      <c r="E15" s="1" t="s">
        <v>45</v>
      </c>
      <c r="F15" s="2">
        <f>22561/884529</f>
        <v>2.5506229869229839E-2</v>
      </c>
      <c r="G15" s="38" t="s">
        <v>64</v>
      </c>
    </row>
    <row r="16" spans="1:7" x14ac:dyDescent="0.55000000000000004">
      <c r="A16" s="36"/>
      <c r="B16" s="12" t="s">
        <v>27</v>
      </c>
      <c r="C16" s="1" t="s">
        <v>46</v>
      </c>
      <c r="D16" s="10">
        <f>900763/66140</f>
        <v>13.619035379498035</v>
      </c>
      <c r="E16" s="1" t="s">
        <v>47</v>
      </c>
      <c r="F16" s="10">
        <f>884529/61326</f>
        <v>14.423393014382155</v>
      </c>
      <c r="G16" s="39"/>
    </row>
    <row r="17" spans="1:7" ht="20.7" customHeight="1" x14ac:dyDescent="0.55000000000000004">
      <c r="A17" s="36"/>
      <c r="B17" s="12" t="s">
        <v>28</v>
      </c>
      <c r="C17" s="1" t="s">
        <v>48</v>
      </c>
      <c r="D17" s="10">
        <f>900763/54715</f>
        <v>16.462816412318379</v>
      </c>
      <c r="E17" s="1" t="s">
        <v>49</v>
      </c>
      <c r="F17" s="10">
        <f>884529/52061</f>
        <v>16.99024221586216</v>
      </c>
      <c r="G17" s="40"/>
    </row>
    <row r="18" spans="1:7" ht="14.7" thickBot="1" x14ac:dyDescent="0.6">
      <c r="A18" s="37"/>
      <c r="B18" s="13" t="s">
        <v>29</v>
      </c>
      <c r="C18" s="14" t="s">
        <v>50</v>
      </c>
      <c r="D18" s="15">
        <f>(111417/900763)*360</f>
        <v>44.529049261570471</v>
      </c>
      <c r="E18" s="14" t="s">
        <v>51</v>
      </c>
      <c r="F18" s="15">
        <f>(120356/884529)*360</f>
        <v>48.984442567739436</v>
      </c>
      <c r="G18" s="30" t="s">
        <v>65</v>
      </c>
    </row>
    <row r="19" spans="1:7" ht="38.700000000000003" x14ac:dyDescent="0.55000000000000004">
      <c r="A19" s="35" t="s">
        <v>31</v>
      </c>
      <c r="B19" s="16" t="s">
        <v>32</v>
      </c>
      <c r="C19" s="7" t="s">
        <v>52</v>
      </c>
      <c r="D19" s="17">
        <f>543260/313397</f>
        <v>1.7334562870735839</v>
      </c>
      <c r="E19" s="7" t="s">
        <v>53</v>
      </c>
      <c r="F19" s="17">
        <f>506677/289300</f>
        <v>1.7513895610093329</v>
      </c>
      <c r="G19" s="28" t="s">
        <v>66</v>
      </c>
    </row>
    <row r="20" spans="1:7" ht="14.7" thickBot="1" x14ac:dyDescent="0.6">
      <c r="A20" s="37"/>
      <c r="B20" s="18" t="s">
        <v>33</v>
      </c>
      <c r="C20" s="19" t="s">
        <v>54</v>
      </c>
      <c r="D20" s="20">
        <f>(543260-336767)/313397</f>
        <v>0.65888633267070207</v>
      </c>
      <c r="E20" s="19" t="s">
        <v>55</v>
      </c>
      <c r="F20" s="20">
        <f>(506677-238227)/289300</f>
        <v>0.92792948496370553</v>
      </c>
      <c r="G20" s="30"/>
    </row>
    <row r="21" spans="1:7" ht="14.7" thickBot="1" x14ac:dyDescent="0.6">
      <c r="A21" s="21" t="s">
        <v>34</v>
      </c>
      <c r="B21" s="22" t="s">
        <v>35</v>
      </c>
      <c r="C21" s="23" t="s">
        <v>67</v>
      </c>
      <c r="D21" s="24">
        <f>359717/714822</f>
        <v>0.50322597793576584</v>
      </c>
      <c r="E21" s="23" t="s">
        <v>68</v>
      </c>
      <c r="F21" s="24">
        <f>349483/669992</f>
        <v>0.5216226462405521</v>
      </c>
      <c r="G21" s="31" t="s">
        <v>69</v>
      </c>
    </row>
  </sheetData>
  <mergeCells count="3">
    <mergeCell ref="A3:A18"/>
    <mergeCell ref="A19:A20"/>
    <mergeCell ref="G15:G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Martina</cp:lastModifiedBy>
  <dcterms:created xsi:type="dcterms:W3CDTF">2018-10-10T06:50:28Z</dcterms:created>
  <dcterms:modified xsi:type="dcterms:W3CDTF">2018-10-24T11:02:10Z</dcterms:modified>
</cp:coreProperties>
</file>