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80" yWindow="3470" windowWidth="14810" windowHeight="4380" activeTab="1"/>
  </bookViews>
  <sheets>
    <sheet name="Data" sheetId="1" r:id="rId1"/>
    <sheet name="ROC King" sheetId="3" r:id="rId2"/>
    <sheet name="Cell dimensioning" sheetId="4" r:id="rId3"/>
    <sheet name="Economic assessment" sheetId="6" r:id="rId4"/>
  </sheets>
  <calcPr calcId="179017"/>
</workbook>
</file>

<file path=xl/calcChain.xml><?xml version="1.0" encoding="utf-8"?>
<calcChain xmlns="http://schemas.openxmlformats.org/spreadsheetml/2006/main">
  <c r="P44" i="4" l="1"/>
  <c r="O47" i="4"/>
  <c r="O41" i="4"/>
  <c r="N35" i="4"/>
  <c r="N40" i="4"/>
  <c r="N43" i="4"/>
  <c r="M35" i="4"/>
  <c r="M38" i="4"/>
  <c r="M41" i="4"/>
  <c r="M43" i="4"/>
  <c r="L36" i="4"/>
  <c r="L38" i="4"/>
  <c r="K33" i="4"/>
  <c r="K39" i="4"/>
  <c r="K41" i="4"/>
  <c r="K31" i="4"/>
  <c r="G15" i="6"/>
  <c r="G16" i="6"/>
  <c r="G17" i="6"/>
  <c r="G18" i="6"/>
  <c r="G14" i="6"/>
  <c r="F15" i="6"/>
  <c r="F16" i="6"/>
  <c r="F17" i="6"/>
  <c r="F18" i="6"/>
  <c r="F14" i="6"/>
  <c r="D14" i="6"/>
  <c r="C77" i="4"/>
  <c r="C76" i="4"/>
  <c r="C78" i="4" s="1"/>
  <c r="G32" i="4"/>
  <c r="H32" i="4"/>
  <c r="G33" i="4"/>
  <c r="H33" i="4"/>
  <c r="F34" i="4"/>
  <c r="G34" i="4"/>
  <c r="H34" i="4"/>
  <c r="E35" i="4"/>
  <c r="G35" i="4"/>
  <c r="H35" i="4"/>
  <c r="G36" i="4"/>
  <c r="H36" i="4"/>
  <c r="G37" i="4"/>
  <c r="H37" i="4"/>
  <c r="G38" i="4"/>
  <c r="H38" i="4"/>
  <c r="G39" i="4"/>
  <c r="H39" i="4"/>
  <c r="E40" i="4"/>
  <c r="G40" i="4"/>
  <c r="H40" i="4"/>
  <c r="G41" i="4"/>
  <c r="H41" i="4"/>
  <c r="G42" i="4"/>
  <c r="H42" i="4"/>
  <c r="E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G31" i="4"/>
  <c r="H31" i="4"/>
  <c r="X5" i="4"/>
  <c r="Y5" i="4"/>
  <c r="X6" i="4"/>
  <c r="Y6" i="4"/>
  <c r="Y23" i="4" s="1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Y4" i="4"/>
  <c r="X4" i="4"/>
  <c r="Q5" i="4"/>
  <c r="T5" i="4"/>
  <c r="U5" i="4"/>
  <c r="R6" i="4"/>
  <c r="U6" i="4"/>
  <c r="R7" i="4"/>
  <c r="Q8" i="4"/>
  <c r="S31" i="4" s="1"/>
  <c r="S8" i="4"/>
  <c r="T8" i="4"/>
  <c r="Q9" i="4"/>
  <c r="T9" i="4"/>
  <c r="Q10" i="4"/>
  <c r="R10" i="4"/>
  <c r="T10" i="4"/>
  <c r="R11" i="4"/>
  <c r="T11" i="4"/>
  <c r="U11" i="4"/>
  <c r="R12" i="4"/>
  <c r="U12" i="4"/>
  <c r="R13" i="4"/>
  <c r="S13" i="4"/>
  <c r="U13" i="4"/>
  <c r="S14" i="4"/>
  <c r="U14" i="4"/>
  <c r="Q15" i="4"/>
  <c r="S15" i="4"/>
  <c r="Q16" i="4"/>
  <c r="S16" i="4"/>
  <c r="T16" i="4"/>
  <c r="Q17" i="4"/>
  <c r="T17" i="4"/>
  <c r="Q18" i="4"/>
  <c r="R18" i="4"/>
  <c r="T18" i="4"/>
  <c r="R19" i="4"/>
  <c r="T19" i="4"/>
  <c r="U19" i="4"/>
  <c r="R20" i="4"/>
  <c r="U20" i="4"/>
  <c r="R21" i="4"/>
  <c r="S21" i="4"/>
  <c r="U21" i="4"/>
  <c r="T4" i="4"/>
  <c r="Q4" i="4"/>
  <c r="J5" i="4"/>
  <c r="K5" i="4"/>
  <c r="R5" i="4" s="1"/>
  <c r="L5" i="4"/>
  <c r="S5" i="4" s="1"/>
  <c r="M5" i="4"/>
  <c r="N5" i="4"/>
  <c r="J6" i="4"/>
  <c r="Q6" i="4" s="1"/>
  <c r="K6" i="4"/>
  <c r="L6" i="4"/>
  <c r="S6" i="4" s="1"/>
  <c r="M6" i="4"/>
  <c r="T6" i="4" s="1"/>
  <c r="N6" i="4"/>
  <c r="J7" i="4"/>
  <c r="Q7" i="4" s="1"/>
  <c r="K7" i="4"/>
  <c r="L7" i="4"/>
  <c r="S7" i="4" s="1"/>
  <c r="M7" i="4"/>
  <c r="T7" i="4" s="1"/>
  <c r="N7" i="4"/>
  <c r="U7" i="4" s="1"/>
  <c r="J8" i="4"/>
  <c r="K8" i="4"/>
  <c r="R8" i="4" s="1"/>
  <c r="L8" i="4"/>
  <c r="M8" i="4"/>
  <c r="N8" i="4"/>
  <c r="U8" i="4" s="1"/>
  <c r="J9" i="4"/>
  <c r="K9" i="4"/>
  <c r="R9" i="4" s="1"/>
  <c r="L9" i="4"/>
  <c r="S9" i="4" s="1"/>
  <c r="M9" i="4"/>
  <c r="N9" i="4"/>
  <c r="U9" i="4" s="1"/>
  <c r="J10" i="4"/>
  <c r="K10" i="4"/>
  <c r="L10" i="4"/>
  <c r="S10" i="4" s="1"/>
  <c r="M10" i="4"/>
  <c r="N10" i="4"/>
  <c r="U10" i="4" s="1"/>
  <c r="J11" i="4"/>
  <c r="Q11" i="4" s="1"/>
  <c r="K11" i="4"/>
  <c r="L11" i="4"/>
  <c r="S11" i="4" s="1"/>
  <c r="M11" i="4"/>
  <c r="N11" i="4"/>
  <c r="J12" i="4"/>
  <c r="Q12" i="4" s="1"/>
  <c r="K12" i="4"/>
  <c r="L12" i="4"/>
  <c r="S12" i="4" s="1"/>
  <c r="M12" i="4"/>
  <c r="T12" i="4" s="1"/>
  <c r="N12" i="4"/>
  <c r="J13" i="4"/>
  <c r="Q13" i="4" s="1"/>
  <c r="K13" i="4"/>
  <c r="L13" i="4"/>
  <c r="M13" i="4"/>
  <c r="T13" i="4" s="1"/>
  <c r="N13" i="4"/>
  <c r="J14" i="4"/>
  <c r="Q14" i="4" s="1"/>
  <c r="K14" i="4"/>
  <c r="R14" i="4" s="1"/>
  <c r="L14" i="4"/>
  <c r="M14" i="4"/>
  <c r="T14" i="4" s="1"/>
  <c r="N14" i="4"/>
  <c r="J15" i="4"/>
  <c r="K15" i="4"/>
  <c r="R15" i="4" s="1"/>
  <c r="L15" i="4"/>
  <c r="M15" i="4"/>
  <c r="T15" i="4" s="1"/>
  <c r="N15" i="4"/>
  <c r="U15" i="4" s="1"/>
  <c r="J16" i="4"/>
  <c r="K16" i="4"/>
  <c r="R16" i="4" s="1"/>
  <c r="L16" i="4"/>
  <c r="M16" i="4"/>
  <c r="N16" i="4"/>
  <c r="U16" i="4" s="1"/>
  <c r="J17" i="4"/>
  <c r="K17" i="4"/>
  <c r="R17" i="4" s="1"/>
  <c r="L17" i="4"/>
  <c r="S17" i="4" s="1"/>
  <c r="M17" i="4"/>
  <c r="N17" i="4"/>
  <c r="U17" i="4" s="1"/>
  <c r="J18" i="4"/>
  <c r="K18" i="4"/>
  <c r="L18" i="4"/>
  <c r="S18" i="4" s="1"/>
  <c r="M18" i="4"/>
  <c r="N18" i="4"/>
  <c r="U18" i="4" s="1"/>
  <c r="J19" i="4"/>
  <c r="Q19" i="4" s="1"/>
  <c r="K19" i="4"/>
  <c r="L19" i="4"/>
  <c r="S19" i="4" s="1"/>
  <c r="M19" i="4"/>
  <c r="N19" i="4"/>
  <c r="J20" i="4"/>
  <c r="Q20" i="4" s="1"/>
  <c r="K20" i="4"/>
  <c r="L20" i="4"/>
  <c r="S20" i="4" s="1"/>
  <c r="M20" i="4"/>
  <c r="T20" i="4" s="1"/>
  <c r="N20" i="4"/>
  <c r="J21" i="4"/>
  <c r="Q21" i="4" s="1"/>
  <c r="K21" i="4"/>
  <c r="L21" i="4"/>
  <c r="M21" i="4"/>
  <c r="T21" i="4" s="1"/>
  <c r="N21" i="4"/>
  <c r="K4" i="4"/>
  <c r="R4" i="4" s="1"/>
  <c r="L4" i="4"/>
  <c r="S4" i="4" s="1"/>
  <c r="M4" i="4"/>
  <c r="N4" i="4"/>
  <c r="U4" i="4" s="1"/>
  <c r="J4" i="4"/>
  <c r="C5" i="4"/>
  <c r="K40" i="4" s="1"/>
  <c r="D5" i="4"/>
  <c r="L40" i="4" s="1"/>
  <c r="E5" i="4"/>
  <c r="O40" i="4" s="1"/>
  <c r="F5" i="4"/>
  <c r="M40" i="4" s="1"/>
  <c r="G5" i="4"/>
  <c r="C6" i="4"/>
  <c r="D6" i="4"/>
  <c r="L33" i="4" s="1"/>
  <c r="E6" i="4"/>
  <c r="F6" i="4"/>
  <c r="M33" i="4" s="1"/>
  <c r="G6" i="4"/>
  <c r="N33" i="4" s="1"/>
  <c r="C7" i="4"/>
  <c r="D7" i="4"/>
  <c r="L41" i="4" s="1"/>
  <c r="E7" i="4"/>
  <c r="F7" i="4"/>
  <c r="G7" i="4"/>
  <c r="N41" i="4" s="1"/>
  <c r="C8" i="4"/>
  <c r="D8" i="4"/>
  <c r="L31" i="4" s="1"/>
  <c r="E8" i="4"/>
  <c r="F8" i="4"/>
  <c r="M31" i="4" s="1"/>
  <c r="G8" i="4"/>
  <c r="N31" i="4" s="1"/>
  <c r="C9" i="4"/>
  <c r="K32" i="4" s="1"/>
  <c r="D9" i="4"/>
  <c r="L32" i="4" s="1"/>
  <c r="E9" i="4"/>
  <c r="F9" i="4"/>
  <c r="M32" i="4" s="1"/>
  <c r="G9" i="4"/>
  <c r="N32" i="4" s="1"/>
  <c r="C10" i="4"/>
  <c r="D10" i="4"/>
  <c r="L39" i="4" s="1"/>
  <c r="E10" i="4"/>
  <c r="F10" i="4"/>
  <c r="M39" i="4" s="1"/>
  <c r="G10" i="4"/>
  <c r="N39" i="4" s="1"/>
  <c r="C11" i="4"/>
  <c r="K43" i="4" s="1"/>
  <c r="D11" i="4"/>
  <c r="L43" i="4" s="1"/>
  <c r="E11" i="4"/>
  <c r="F11" i="4"/>
  <c r="G11" i="4"/>
  <c r="C12" i="4"/>
  <c r="K42" i="4" s="1"/>
  <c r="D12" i="4"/>
  <c r="L42" i="4" s="1"/>
  <c r="E12" i="4"/>
  <c r="F12" i="4"/>
  <c r="M42" i="4" s="1"/>
  <c r="G12" i="4"/>
  <c r="N42" i="4" s="1"/>
  <c r="C13" i="4"/>
  <c r="D13" i="4"/>
  <c r="E13" i="4"/>
  <c r="O44" i="4" s="1"/>
  <c r="F13" i="4"/>
  <c r="G13" i="4"/>
  <c r="C14" i="4"/>
  <c r="D14" i="4"/>
  <c r="E14" i="4"/>
  <c r="O45" i="4" s="1"/>
  <c r="F14" i="4"/>
  <c r="G14" i="4"/>
  <c r="P45" i="4" s="1"/>
  <c r="C15" i="4"/>
  <c r="D15" i="4"/>
  <c r="E15" i="4"/>
  <c r="O46" i="4" s="1"/>
  <c r="F15" i="4"/>
  <c r="G15" i="4"/>
  <c r="P46" i="4" s="1"/>
  <c r="C16" i="4"/>
  <c r="D16" i="4"/>
  <c r="E16" i="4"/>
  <c r="F16" i="4"/>
  <c r="G16" i="4"/>
  <c r="P47" i="4" s="1"/>
  <c r="C17" i="4"/>
  <c r="D17" i="4"/>
  <c r="E17" i="4"/>
  <c r="O48" i="4" s="1"/>
  <c r="F17" i="4"/>
  <c r="G17" i="4"/>
  <c r="P48" i="4" s="1"/>
  <c r="C18" i="4"/>
  <c r="K34" i="4" s="1"/>
  <c r="D18" i="4"/>
  <c r="L34" i="4" s="1"/>
  <c r="E18" i="4"/>
  <c r="F18" i="4"/>
  <c r="M34" i="4" s="1"/>
  <c r="G18" i="4"/>
  <c r="N34" i="4" s="1"/>
  <c r="C19" i="4"/>
  <c r="K35" i="4" s="1"/>
  <c r="D19" i="4"/>
  <c r="L35" i="4" s="1"/>
  <c r="E19" i="4"/>
  <c r="F19" i="4"/>
  <c r="G19" i="4"/>
  <c r="C20" i="4"/>
  <c r="K36" i="4" s="1"/>
  <c r="D20" i="4"/>
  <c r="E20" i="4"/>
  <c r="F20" i="4"/>
  <c r="M36" i="4" s="1"/>
  <c r="G20" i="4"/>
  <c r="N36" i="4" s="1"/>
  <c r="C21" i="4"/>
  <c r="K37" i="4" s="1"/>
  <c r="D21" i="4"/>
  <c r="L37" i="4" s="1"/>
  <c r="E21" i="4"/>
  <c r="F21" i="4"/>
  <c r="M37" i="4" s="1"/>
  <c r="G21" i="4"/>
  <c r="N37" i="4" s="1"/>
  <c r="D4" i="4"/>
  <c r="E4" i="4"/>
  <c r="F4" i="4"/>
  <c r="G4" i="4"/>
  <c r="N38" i="4" s="1"/>
  <c r="C4" i="4"/>
  <c r="K38" i="4" s="1"/>
  <c r="O36" i="3"/>
  <c r="F36" i="4" s="1"/>
  <c r="O38" i="3"/>
  <c r="F38" i="4" s="1"/>
  <c r="O39" i="3"/>
  <c r="F39" i="4" s="1"/>
  <c r="O31" i="3"/>
  <c r="F31" i="4" s="1"/>
  <c r="N31" i="3"/>
  <c r="E31" i="4" s="1"/>
  <c r="M32" i="3"/>
  <c r="D32" i="4" s="1"/>
  <c r="M33" i="3"/>
  <c r="D33" i="4" s="1"/>
  <c r="M34" i="3"/>
  <c r="D34" i="4" s="1"/>
  <c r="N34" i="3"/>
  <c r="E34" i="4" s="1"/>
  <c r="N35" i="3"/>
  <c r="N38" i="3"/>
  <c r="E38" i="4" s="1"/>
  <c r="M40" i="3"/>
  <c r="D40" i="4" s="1"/>
  <c r="M41" i="3"/>
  <c r="D41" i="4" s="1"/>
  <c r="M42" i="3"/>
  <c r="D42" i="4" s="1"/>
  <c r="N42" i="3"/>
  <c r="E42" i="4" s="1"/>
  <c r="N43" i="3"/>
  <c r="L36" i="3"/>
  <c r="C36" i="4" s="1"/>
  <c r="L37" i="3"/>
  <c r="C37" i="4" s="1"/>
  <c r="L39" i="3"/>
  <c r="C39" i="4" s="1"/>
  <c r="L42" i="3"/>
  <c r="C42" i="4" s="1"/>
  <c r="L31" i="3"/>
  <c r="C31" i="4" s="1"/>
  <c r="B32" i="3"/>
  <c r="L32" i="3" s="1"/>
  <c r="C32" i="4" s="1"/>
  <c r="C32" i="3"/>
  <c r="D32" i="3"/>
  <c r="N32" i="3" s="1"/>
  <c r="E32" i="4" s="1"/>
  <c r="E32" i="3"/>
  <c r="O32" i="3" s="1"/>
  <c r="F32" i="4" s="1"/>
  <c r="F32" i="3"/>
  <c r="B33" i="3"/>
  <c r="L33" i="3" s="1"/>
  <c r="C33" i="4" s="1"/>
  <c r="C33" i="3"/>
  <c r="D33" i="3"/>
  <c r="N33" i="3" s="1"/>
  <c r="E33" i="4" s="1"/>
  <c r="E33" i="3"/>
  <c r="O33" i="3" s="1"/>
  <c r="F33" i="4" s="1"/>
  <c r="F33" i="3"/>
  <c r="B34" i="3"/>
  <c r="L34" i="3" s="1"/>
  <c r="C34" i="4" s="1"/>
  <c r="C34" i="3"/>
  <c r="D34" i="3"/>
  <c r="E34" i="3"/>
  <c r="O34" i="3" s="1"/>
  <c r="F34" i="3"/>
  <c r="B35" i="3"/>
  <c r="L35" i="3" s="1"/>
  <c r="C35" i="4" s="1"/>
  <c r="C35" i="3"/>
  <c r="M35" i="3" s="1"/>
  <c r="D35" i="4" s="1"/>
  <c r="D35" i="3"/>
  <c r="E35" i="3"/>
  <c r="O35" i="3" s="1"/>
  <c r="F35" i="4" s="1"/>
  <c r="F35" i="3"/>
  <c r="B36" i="3"/>
  <c r="C36" i="3"/>
  <c r="M36" i="3" s="1"/>
  <c r="D36" i="4" s="1"/>
  <c r="D36" i="3"/>
  <c r="N36" i="3" s="1"/>
  <c r="E36" i="4" s="1"/>
  <c r="E36" i="3"/>
  <c r="F36" i="3"/>
  <c r="B37" i="3"/>
  <c r="C37" i="3"/>
  <c r="M37" i="3" s="1"/>
  <c r="D37" i="4" s="1"/>
  <c r="D37" i="3"/>
  <c r="N37" i="3" s="1"/>
  <c r="E37" i="4" s="1"/>
  <c r="E37" i="3"/>
  <c r="O37" i="3" s="1"/>
  <c r="F37" i="4" s="1"/>
  <c r="F37" i="3"/>
  <c r="B38" i="3"/>
  <c r="L38" i="3" s="1"/>
  <c r="C38" i="4" s="1"/>
  <c r="C38" i="3"/>
  <c r="M38" i="3" s="1"/>
  <c r="D38" i="4" s="1"/>
  <c r="D38" i="3"/>
  <c r="E38" i="3"/>
  <c r="F38" i="3"/>
  <c r="B39" i="3"/>
  <c r="C39" i="3"/>
  <c r="M39" i="3" s="1"/>
  <c r="D39" i="4" s="1"/>
  <c r="D39" i="3"/>
  <c r="N39" i="3" s="1"/>
  <c r="E39" i="4" s="1"/>
  <c r="E39" i="3"/>
  <c r="F39" i="3"/>
  <c r="B40" i="3"/>
  <c r="L40" i="3" s="1"/>
  <c r="C40" i="4" s="1"/>
  <c r="C40" i="3"/>
  <c r="D40" i="3"/>
  <c r="N40" i="3" s="1"/>
  <c r="E40" i="3"/>
  <c r="O40" i="3" s="1"/>
  <c r="F40" i="4" s="1"/>
  <c r="F40" i="3"/>
  <c r="B41" i="3"/>
  <c r="L41" i="3" s="1"/>
  <c r="C41" i="4" s="1"/>
  <c r="C41" i="3"/>
  <c r="D41" i="3"/>
  <c r="N41" i="3" s="1"/>
  <c r="E41" i="4" s="1"/>
  <c r="E41" i="3"/>
  <c r="O41" i="3" s="1"/>
  <c r="F41" i="4" s="1"/>
  <c r="F41" i="3"/>
  <c r="B42" i="3"/>
  <c r="C42" i="3"/>
  <c r="D42" i="3"/>
  <c r="E42" i="3"/>
  <c r="O42" i="3" s="1"/>
  <c r="F42" i="4" s="1"/>
  <c r="F42" i="3"/>
  <c r="B43" i="3"/>
  <c r="L43" i="3" s="1"/>
  <c r="C43" i="4" s="1"/>
  <c r="C43" i="3"/>
  <c r="M43" i="3" s="1"/>
  <c r="D43" i="4" s="1"/>
  <c r="D43" i="3"/>
  <c r="E43" i="3"/>
  <c r="O43" i="3" s="1"/>
  <c r="F43" i="4" s="1"/>
  <c r="F43" i="3"/>
  <c r="B44" i="3"/>
  <c r="C44" i="3"/>
  <c r="D44" i="3"/>
  <c r="E44" i="3"/>
  <c r="F44" i="3"/>
  <c r="B45" i="3"/>
  <c r="C45" i="3"/>
  <c r="D45" i="3"/>
  <c r="E45" i="3"/>
  <c r="F45" i="3"/>
  <c r="B46" i="3"/>
  <c r="C46" i="3"/>
  <c r="D46" i="3"/>
  <c r="E46" i="3"/>
  <c r="F46" i="3"/>
  <c r="B47" i="3"/>
  <c r="C47" i="3"/>
  <c r="D47" i="3"/>
  <c r="E47" i="3"/>
  <c r="F47" i="3"/>
  <c r="B48" i="3"/>
  <c r="C48" i="3"/>
  <c r="D48" i="3"/>
  <c r="E48" i="3"/>
  <c r="F48" i="3"/>
  <c r="C31" i="3"/>
  <c r="M31" i="3" s="1"/>
  <c r="D31" i="4" s="1"/>
  <c r="D31" i="3"/>
  <c r="E31" i="3"/>
  <c r="F31" i="3"/>
  <c r="B31" i="3"/>
  <c r="W44" i="4"/>
  <c r="X23" i="4" l="1"/>
  <c r="S38" i="4"/>
  <c r="D26" i="6" l="1"/>
  <c r="D15" i="6"/>
  <c r="W41" i="4" l="1"/>
  <c r="W40" i="4"/>
  <c r="S33" i="4"/>
  <c r="S40" i="4"/>
  <c r="T40" i="4"/>
  <c r="V38" i="4"/>
  <c r="C8" i="3"/>
  <c r="E6" i="3"/>
  <c r="I6" i="3"/>
  <c r="D16" i="6" l="1"/>
  <c r="D17" i="6"/>
  <c r="D18" i="6"/>
  <c r="Z18" i="4" l="1"/>
  <c r="Z19" i="4"/>
  <c r="Z20" i="4"/>
  <c r="Z21" i="4"/>
  <c r="Z8" i="4"/>
  <c r="Z7" i="4"/>
  <c r="Z9" i="4"/>
  <c r="Z10" i="4"/>
  <c r="Z11" i="4"/>
  <c r="V34" i="4"/>
  <c r="V35" i="4"/>
  <c r="V36" i="4"/>
  <c r="V37" i="4"/>
  <c r="V32" i="4"/>
  <c r="V39" i="4"/>
  <c r="V43" i="4"/>
  <c r="V31" i="4"/>
  <c r="T43" i="4" l="1"/>
  <c r="C107" i="4" l="1"/>
  <c r="C106" i="4"/>
  <c r="I5" i="4"/>
  <c r="P5" i="4" s="1"/>
  <c r="W5" i="4" s="1"/>
  <c r="AA40" i="4" s="1"/>
  <c r="I6" i="4"/>
  <c r="P6" i="4" s="1"/>
  <c r="W6" i="4" s="1"/>
  <c r="AA33" i="4" s="1"/>
  <c r="I7" i="4"/>
  <c r="P7" i="4" s="1"/>
  <c r="W7" i="4" s="1"/>
  <c r="AA41" i="4" s="1"/>
  <c r="I8" i="4"/>
  <c r="P8" i="4" s="1"/>
  <c r="W8" i="4" s="1"/>
  <c r="AA31" i="4" s="1"/>
  <c r="I9" i="4"/>
  <c r="P9" i="4" s="1"/>
  <c r="W9" i="4" s="1"/>
  <c r="AA32" i="4" s="1"/>
  <c r="I10" i="4"/>
  <c r="P10" i="4" s="1"/>
  <c r="W10" i="4" s="1"/>
  <c r="AA39" i="4" s="1"/>
  <c r="I11" i="4"/>
  <c r="P11" i="4" s="1"/>
  <c r="W11" i="4" s="1"/>
  <c r="AA43" i="4" s="1"/>
  <c r="I12" i="4"/>
  <c r="P12" i="4" s="1"/>
  <c r="W12" i="4" s="1"/>
  <c r="AA42" i="4" s="1"/>
  <c r="I13" i="4"/>
  <c r="P13" i="4" s="1"/>
  <c r="W13" i="4" s="1"/>
  <c r="AA44" i="4" s="1"/>
  <c r="I14" i="4"/>
  <c r="P14" i="4" s="1"/>
  <c r="W14" i="4" s="1"/>
  <c r="AA45" i="4" s="1"/>
  <c r="I15" i="4"/>
  <c r="P15" i="4" s="1"/>
  <c r="W15" i="4" s="1"/>
  <c r="AA46" i="4" s="1"/>
  <c r="I16" i="4"/>
  <c r="P16" i="4" s="1"/>
  <c r="W16" i="4" s="1"/>
  <c r="AA47" i="4" s="1"/>
  <c r="I17" i="4"/>
  <c r="P17" i="4" s="1"/>
  <c r="W17" i="4" s="1"/>
  <c r="AA48" i="4" s="1"/>
  <c r="I18" i="4"/>
  <c r="P18" i="4" s="1"/>
  <c r="W18" i="4" s="1"/>
  <c r="AA34" i="4" s="1"/>
  <c r="I19" i="4"/>
  <c r="P19" i="4" s="1"/>
  <c r="W19" i="4" s="1"/>
  <c r="AA35" i="4" s="1"/>
  <c r="I20" i="4"/>
  <c r="P20" i="4" s="1"/>
  <c r="W20" i="4" s="1"/>
  <c r="AA36" i="4" s="1"/>
  <c r="I21" i="4"/>
  <c r="P21" i="4" s="1"/>
  <c r="W21" i="4" s="1"/>
  <c r="AA37" i="4" s="1"/>
  <c r="I4" i="4"/>
  <c r="P4" i="4" s="1"/>
  <c r="W4" i="4" s="1"/>
  <c r="AA38" i="4" s="1"/>
  <c r="Z4" i="4"/>
  <c r="Z5" i="4"/>
  <c r="Z6" i="4"/>
  <c r="Z12" i="4"/>
  <c r="Z13" i="4"/>
  <c r="Z14" i="4"/>
  <c r="Z15" i="4"/>
  <c r="Z16" i="4"/>
  <c r="Z17" i="4"/>
  <c r="U37" i="4"/>
  <c r="T37" i="4"/>
  <c r="S37" i="4"/>
  <c r="U36" i="4"/>
  <c r="T36" i="4"/>
  <c r="S36" i="4"/>
  <c r="U35" i="4"/>
  <c r="T35" i="4"/>
  <c r="S35" i="4"/>
  <c r="U34" i="4"/>
  <c r="T34" i="4"/>
  <c r="S34" i="4"/>
  <c r="X48" i="4"/>
  <c r="W48" i="4"/>
  <c r="X47" i="4"/>
  <c r="W47" i="4"/>
  <c r="X46" i="4"/>
  <c r="W46" i="4"/>
  <c r="X45" i="4"/>
  <c r="W45" i="4"/>
  <c r="X44" i="4"/>
  <c r="V42" i="4"/>
  <c r="U42" i="4"/>
  <c r="T42" i="4"/>
  <c r="S42" i="4"/>
  <c r="U43" i="4"/>
  <c r="S43" i="4"/>
  <c r="U39" i="4"/>
  <c r="T39" i="4"/>
  <c r="S39" i="4"/>
  <c r="U32" i="4"/>
  <c r="T32" i="4"/>
  <c r="S32" i="4"/>
  <c r="U31" i="4"/>
  <c r="T31" i="4"/>
  <c r="V41" i="4"/>
  <c r="U41" i="4"/>
  <c r="T41" i="4"/>
  <c r="S41" i="4"/>
  <c r="V33" i="4"/>
  <c r="U33" i="4"/>
  <c r="T33" i="4"/>
  <c r="V40" i="4"/>
  <c r="U40" i="4"/>
  <c r="U38" i="4"/>
  <c r="T38" i="4"/>
  <c r="K8" i="3"/>
  <c r="U6" i="3"/>
  <c r="F6" i="3"/>
  <c r="G6" i="3"/>
  <c r="H6" i="3"/>
  <c r="B9" i="3"/>
  <c r="C9" i="3" s="1"/>
  <c r="K9" i="3" s="1"/>
  <c r="AA9" i="3" s="1"/>
  <c r="Y6" i="3"/>
  <c r="X6" i="3"/>
  <c r="W6" i="3"/>
  <c r="V6" i="3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C35" i="4" l="1"/>
  <c r="AB35" i="4"/>
  <c r="AC43" i="4"/>
  <c r="AB43" i="4"/>
  <c r="AB37" i="4"/>
  <c r="AC37" i="4"/>
  <c r="AB40" i="4"/>
  <c r="AC40" i="4"/>
  <c r="AC36" i="4"/>
  <c r="AB36" i="4"/>
  <c r="AC39" i="4"/>
  <c r="AB39" i="4"/>
  <c r="AB32" i="4"/>
  <c r="AC32" i="4"/>
  <c r="AC47" i="4"/>
  <c r="AB47" i="4"/>
  <c r="AC31" i="4"/>
  <c r="AB31" i="4"/>
  <c r="AB42" i="4"/>
  <c r="AC42" i="4"/>
  <c r="AB34" i="4"/>
  <c r="AC34" i="4"/>
  <c r="AB48" i="4"/>
  <c r="AC48" i="4"/>
  <c r="Z23" i="4"/>
  <c r="AB46" i="4"/>
  <c r="AC46" i="4"/>
  <c r="AC41" i="4"/>
  <c r="AB41" i="4"/>
  <c r="AC44" i="4"/>
  <c r="AB44" i="4"/>
  <c r="AB38" i="4"/>
  <c r="AC38" i="4"/>
  <c r="AB45" i="4"/>
  <c r="AC45" i="4"/>
  <c r="AC33" i="4"/>
  <c r="AB33" i="4"/>
  <c r="R25" i="3"/>
  <c r="AH8" i="3"/>
  <c r="R17" i="3"/>
  <c r="R21" i="3"/>
  <c r="AH11" i="3"/>
  <c r="Z22" i="3"/>
  <c r="B10" i="3"/>
  <c r="C10" i="3" s="1"/>
  <c r="K10" i="3" s="1"/>
  <c r="AA10" i="3" s="1"/>
  <c r="R23" i="3"/>
  <c r="Z16" i="3"/>
  <c r="Z14" i="3"/>
  <c r="R10" i="3"/>
  <c r="J15" i="3"/>
  <c r="J19" i="3"/>
  <c r="R14" i="3"/>
  <c r="AH22" i="3"/>
  <c r="Z18" i="3"/>
  <c r="J13" i="3"/>
  <c r="J17" i="3"/>
  <c r="J21" i="3"/>
  <c r="J23" i="3"/>
  <c r="R13" i="3"/>
  <c r="R11" i="3"/>
  <c r="Z20" i="3"/>
  <c r="J12" i="3"/>
  <c r="R19" i="3"/>
  <c r="R22" i="3"/>
  <c r="Z11" i="3"/>
  <c r="Z8" i="3"/>
  <c r="Z10" i="3"/>
  <c r="Z9" i="3"/>
  <c r="Z12" i="3"/>
  <c r="AH23" i="3"/>
  <c r="AH21" i="3"/>
  <c r="AH18" i="3"/>
  <c r="AH15" i="3"/>
  <c r="AH10" i="3"/>
  <c r="AA8" i="3"/>
  <c r="AH24" i="3"/>
  <c r="Z21" i="3"/>
  <c r="Z17" i="3"/>
  <c r="AH9" i="3"/>
  <c r="J11" i="3"/>
  <c r="R18" i="3"/>
  <c r="R20" i="3"/>
  <c r="R24" i="3"/>
  <c r="J25" i="3"/>
  <c r="R12" i="3"/>
  <c r="Z23" i="3"/>
  <c r="AH19" i="3"/>
  <c r="AH13" i="3"/>
  <c r="Z24" i="3"/>
  <c r="Z19" i="3"/>
  <c r="Z15" i="3"/>
  <c r="Z13" i="3"/>
  <c r="R16" i="3"/>
  <c r="AH25" i="3"/>
  <c r="Z25" i="3"/>
  <c r="AH20" i="3"/>
  <c r="AH16" i="3"/>
  <c r="AH17" i="3"/>
  <c r="AH14" i="3"/>
  <c r="AH12" i="3"/>
  <c r="R15" i="3"/>
  <c r="J14" i="3"/>
  <c r="J16" i="3"/>
  <c r="J18" i="3"/>
  <c r="J20" i="3"/>
  <c r="J22" i="3"/>
  <c r="J24" i="3"/>
  <c r="J10" i="3"/>
  <c r="R8" i="3"/>
  <c r="J8" i="3"/>
  <c r="R9" i="3"/>
  <c r="J9" i="3"/>
  <c r="C108" i="4"/>
  <c r="AD36" i="4" l="1"/>
  <c r="G95" i="4"/>
  <c r="B95" i="4"/>
  <c r="AC50" i="4"/>
  <c r="AD31" i="4"/>
  <c r="B59" i="4"/>
  <c r="L59" i="4"/>
  <c r="Q59" i="4"/>
  <c r="G59" i="4"/>
  <c r="AD45" i="4"/>
  <c r="AD42" i="4"/>
  <c r="G96" i="4"/>
  <c r="B96" i="4"/>
  <c r="L63" i="4"/>
  <c r="G63" i="4"/>
  <c r="Q63" i="4"/>
  <c r="B63" i="4"/>
  <c r="AD35" i="4"/>
  <c r="AB50" i="4"/>
  <c r="L55" i="4"/>
  <c r="G55" i="4"/>
  <c r="Q55" i="4"/>
  <c r="B55" i="4"/>
  <c r="AD39" i="4"/>
  <c r="AD38" i="4"/>
  <c r="B93" i="4"/>
  <c r="G93" i="4"/>
  <c r="B64" i="4"/>
  <c r="G98" i="4"/>
  <c r="G64" i="4"/>
  <c r="Q64" i="4"/>
  <c r="L64" i="4"/>
  <c r="AD43" i="4"/>
  <c r="G94" i="4"/>
  <c r="B94" i="4"/>
  <c r="AD47" i="4"/>
  <c r="L62" i="4"/>
  <c r="B62" i="4"/>
  <c r="Q62" i="4"/>
  <c r="G62" i="4"/>
  <c r="AD44" i="4"/>
  <c r="AD48" i="4"/>
  <c r="AD37" i="4"/>
  <c r="AD46" i="4"/>
  <c r="B56" i="4"/>
  <c r="Q56" i="4"/>
  <c r="L56" i="4"/>
  <c r="G56" i="4"/>
  <c r="B66" i="4"/>
  <c r="Q66" i="4"/>
  <c r="G66" i="4"/>
  <c r="L66" i="4"/>
  <c r="Q65" i="4"/>
  <c r="L65" i="4"/>
  <c r="G99" i="4"/>
  <c r="G65" i="4"/>
  <c r="B65" i="4"/>
  <c r="B97" i="4"/>
  <c r="G97" i="4"/>
  <c r="Q61" i="4"/>
  <c r="G61" i="4"/>
  <c r="B61" i="4"/>
  <c r="L61" i="4"/>
  <c r="L57" i="4"/>
  <c r="B57" i="4"/>
  <c r="G57" i="4"/>
  <c r="Q57" i="4"/>
  <c r="Q58" i="4"/>
  <c r="L58" i="4"/>
  <c r="B58" i="4"/>
  <c r="G58" i="4"/>
  <c r="AD33" i="4"/>
  <c r="AD40" i="4"/>
  <c r="AD41" i="4"/>
  <c r="AD34" i="4"/>
  <c r="AD32" i="4"/>
  <c r="B60" i="4"/>
  <c r="G60" i="4"/>
  <c r="Q60" i="4"/>
  <c r="L60" i="4"/>
  <c r="G67" i="4"/>
  <c r="B67" i="4"/>
  <c r="L67" i="4"/>
  <c r="Q67" i="4"/>
  <c r="B11" i="3"/>
  <c r="C11" i="3" s="1"/>
  <c r="K11" i="3" s="1"/>
  <c r="C97" i="4" l="1"/>
  <c r="H97" i="4"/>
  <c r="R67" i="4"/>
  <c r="H67" i="4"/>
  <c r="M67" i="4"/>
  <c r="C67" i="4"/>
  <c r="R59" i="4"/>
  <c r="C59" i="4"/>
  <c r="M59" i="4"/>
  <c r="H59" i="4"/>
  <c r="R58" i="4"/>
  <c r="H58" i="4"/>
  <c r="C58" i="4"/>
  <c r="M58" i="4"/>
  <c r="R61" i="4"/>
  <c r="H61" i="4"/>
  <c r="C61" i="4"/>
  <c r="M61" i="4"/>
  <c r="H66" i="4"/>
  <c r="R66" i="4"/>
  <c r="M66" i="4"/>
  <c r="C66" i="4"/>
  <c r="C62" i="4"/>
  <c r="R62" i="4"/>
  <c r="H62" i="4"/>
  <c r="M62" i="4"/>
  <c r="H99" i="4"/>
  <c r="M65" i="4"/>
  <c r="H65" i="4"/>
  <c r="C65" i="4"/>
  <c r="R65" i="4"/>
  <c r="R63" i="4"/>
  <c r="H63" i="4"/>
  <c r="C63" i="4"/>
  <c r="M63" i="4"/>
  <c r="R56" i="4"/>
  <c r="C56" i="4"/>
  <c r="M56" i="4"/>
  <c r="H56" i="4"/>
  <c r="R60" i="4"/>
  <c r="C60" i="4"/>
  <c r="M60" i="4"/>
  <c r="H60" i="4"/>
  <c r="C95" i="4"/>
  <c r="H95" i="4"/>
  <c r="H93" i="4"/>
  <c r="H102" i="4" s="1"/>
  <c r="C112" i="4" s="1"/>
  <c r="C7" i="6" s="1"/>
  <c r="C93" i="4"/>
  <c r="C96" i="4"/>
  <c r="H96" i="4"/>
  <c r="H98" i="4"/>
  <c r="H64" i="4"/>
  <c r="C64" i="4"/>
  <c r="M64" i="4"/>
  <c r="R64" i="4"/>
  <c r="C57" i="4"/>
  <c r="R57" i="4"/>
  <c r="H57" i="4"/>
  <c r="M57" i="4"/>
  <c r="H69" i="4"/>
  <c r="C83" i="4" s="1"/>
  <c r="C4" i="6" s="1"/>
  <c r="C15" i="6" s="1"/>
  <c r="H94" i="4"/>
  <c r="C94" i="4"/>
  <c r="C99" i="4" s="1"/>
  <c r="C113" i="4" s="1"/>
  <c r="C8" i="6" s="1"/>
  <c r="AD50" i="4"/>
  <c r="C55" i="4"/>
  <c r="C69" i="4" s="1"/>
  <c r="C82" i="4" s="1"/>
  <c r="C3" i="6" s="1"/>
  <c r="C14" i="6" s="1"/>
  <c r="E14" i="6" s="1"/>
  <c r="H14" i="6" s="1"/>
  <c r="R55" i="4"/>
  <c r="R69" i="4" s="1"/>
  <c r="C85" i="4" s="1"/>
  <c r="C6" i="6" s="1"/>
  <c r="C18" i="6" s="1"/>
  <c r="E18" i="6" s="1"/>
  <c r="H18" i="6" s="1"/>
  <c r="H55" i="4"/>
  <c r="M55" i="4"/>
  <c r="M69" i="4" s="1"/>
  <c r="C84" i="4" s="1"/>
  <c r="C5" i="6" s="1"/>
  <c r="C17" i="6" s="1"/>
  <c r="E17" i="6" s="1"/>
  <c r="H17" i="6" s="1"/>
  <c r="B12" i="3"/>
  <c r="B13" i="3" s="1"/>
  <c r="C12" i="3"/>
  <c r="K12" i="3" s="1"/>
  <c r="AA12" i="3" s="1"/>
  <c r="AA11" i="3"/>
  <c r="C16" i="6" l="1"/>
  <c r="E16" i="6" s="1"/>
  <c r="H16" i="6" s="1"/>
  <c r="C24" i="6"/>
  <c r="D24" i="6" s="1"/>
  <c r="E15" i="6"/>
  <c r="H15" i="6" s="1"/>
  <c r="H19" i="6" s="1"/>
  <c r="C23" i="6"/>
  <c r="C13" i="3"/>
  <c r="K13" i="3" s="1"/>
  <c r="B14" i="3"/>
  <c r="D23" i="6" l="1"/>
  <c r="D25" i="6" s="1"/>
  <c r="D27" i="6" s="1"/>
  <c r="D28" i="6" s="1"/>
  <c r="C31" i="6" s="1"/>
  <c r="C14" i="3"/>
  <c r="K14" i="3" s="1"/>
  <c r="AA14" i="3" s="1"/>
  <c r="B15" i="3"/>
  <c r="AA13" i="3"/>
  <c r="C15" i="3" l="1"/>
  <c r="K15" i="3" s="1"/>
  <c r="B16" i="3"/>
  <c r="AA15" i="3" l="1"/>
  <c r="C16" i="3"/>
  <c r="K16" i="3" s="1"/>
  <c r="AA16" i="3" s="1"/>
  <c r="B17" i="3"/>
  <c r="C17" i="3" l="1"/>
  <c r="K17" i="3" s="1"/>
  <c r="AA17" i="3" s="1"/>
  <c r="B18" i="3"/>
  <c r="C18" i="3" l="1"/>
  <c r="K18" i="3" s="1"/>
  <c r="B19" i="3"/>
  <c r="C19" i="3" l="1"/>
  <c r="K19" i="3" s="1"/>
  <c r="AA19" i="3" s="1"/>
  <c r="B20" i="3"/>
  <c r="AA18" i="3"/>
  <c r="C20" i="3" l="1"/>
  <c r="K20" i="3" s="1"/>
  <c r="AA20" i="3" s="1"/>
  <c r="B21" i="3"/>
  <c r="C21" i="3" l="1"/>
  <c r="K21" i="3" s="1"/>
  <c r="AA21" i="3" s="1"/>
  <c r="B22" i="3"/>
  <c r="C22" i="3" l="1"/>
  <c r="K22" i="3" s="1"/>
  <c r="B23" i="3"/>
  <c r="C23" i="3" l="1"/>
  <c r="K23" i="3" s="1"/>
  <c r="AA23" i="3" s="1"/>
  <c r="B24" i="3"/>
  <c r="AA22" i="3"/>
  <c r="U26" i="3"/>
  <c r="C24" i="3" l="1"/>
  <c r="K24" i="3" s="1"/>
  <c r="AA24" i="3" s="1"/>
  <c r="B25" i="3"/>
  <c r="C25" i="3" s="1"/>
  <c r="K25" i="3" s="1"/>
  <c r="X26" i="3" s="1"/>
  <c r="AA25" i="3" l="1"/>
  <c r="M26" i="3"/>
  <c r="N26" i="3"/>
  <c r="V26" i="3"/>
  <c r="Q26" i="3"/>
  <c r="P26" i="3"/>
  <c r="Y26" i="3"/>
  <c r="O26" i="3"/>
  <c r="W26" i="3"/>
  <c r="AD26" i="3" l="1"/>
  <c r="AC26" i="3"/>
  <c r="AE26" i="3"/>
  <c r="AG26" i="3"/>
  <c r="AF26" i="3"/>
</calcChain>
</file>

<file path=xl/sharedStrings.xml><?xml version="1.0" encoding="utf-8"?>
<sst xmlns="http://schemas.openxmlformats.org/spreadsheetml/2006/main" count="565" uniqueCount="128">
  <si>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</si>
  <si>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</si>
  <si>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</si>
  <si>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</si>
  <si>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</si>
  <si>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</si>
  <si>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</si>
  <si>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</si>
  <si>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</si>
  <si>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</si>
  <si>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</si>
  <si>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</si>
  <si>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</si>
  <si>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</si>
  <si>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</si>
  <si>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</si>
  <si>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</si>
  <si>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</si>
  <si>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</si>
  <si>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</si>
  <si>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</si>
  <si>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</si>
  <si>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</si>
  <si>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</si>
  <si>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</si>
  <si>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</si>
  <si>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</si>
  <si>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</si>
  <si>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</si>
  <si>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</si>
  <si>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</si>
  <si>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</si>
  <si>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</si>
  <si>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</si>
  <si>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</si>
  <si>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</si>
  <si>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</si>
  <si>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</si>
  <si>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</si>
  <si>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</si>
  <si>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</si>
  <si>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</si>
  <si>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</si>
  <si>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</si>
  <si>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</si>
  <si>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</si>
  <si>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Rank Order Clustering (ROC) with KING Algorithm</t>
  </si>
  <si>
    <t>i=1,..,M</t>
  </si>
  <si>
    <t>2^(M-i)</t>
  </si>
  <si>
    <t>2^(P-j)</t>
  </si>
  <si>
    <t>j=1,..,P</t>
  </si>
  <si>
    <t>Rj</t>
  </si>
  <si>
    <t>Rj reordered</t>
  </si>
  <si>
    <t>Cj</t>
  </si>
  <si>
    <t>Cj reordered</t>
  </si>
  <si>
    <t>Solution with no duplication of resources</t>
  </si>
  <si>
    <t>Solution with duplication of resource</t>
  </si>
  <si>
    <t>M5bis</t>
  </si>
  <si>
    <t xml:space="preserve">Note: </t>
  </si>
  <si>
    <t>Production allocation with the projected cells</t>
  </si>
  <si>
    <t xml:space="preserve">This is the resultant matrix from the finished ROC (from the ROC-King spreadsheet)     </t>
  </si>
  <si>
    <t>Calculation model for a CELL 1</t>
  </si>
  <si>
    <t>SOLUTION: how many machines per cell?</t>
  </si>
  <si>
    <t>Annual required working hours</t>
  </si>
  <si>
    <t>Annual required setup hours</t>
  </si>
  <si>
    <t>Production allocation with working time</t>
  </si>
  <si>
    <t>Production allocation with setup time</t>
  </si>
  <si>
    <t>hours</t>
  </si>
  <si>
    <r>
      <t>AH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>(s) = WH</t>
    </r>
    <r>
      <rPr>
        <b/>
        <vertAlign val="subscript"/>
        <sz val="20"/>
        <color rgb="FF000000"/>
        <rFont val="Tahoma"/>
        <family val="2"/>
      </rPr>
      <t>i</t>
    </r>
    <r>
      <rPr>
        <b/>
        <sz val="20"/>
        <color rgb="FF000000"/>
        <rFont val="Tahoma"/>
        <family val="2"/>
      </rPr>
      <t xml:space="preserve">(s) </t>
    </r>
    <r>
      <rPr>
        <b/>
        <sz val="20"/>
        <color rgb="FF000000"/>
        <rFont val="Symbol"/>
        <family val="1"/>
        <charset val="2"/>
      </rPr>
      <t>×</t>
    </r>
    <r>
      <rPr>
        <b/>
        <sz val="20"/>
        <color rgb="FF000000"/>
        <rFont val="Tahoma"/>
        <family val="2"/>
      </rPr>
      <t xml:space="preserve"> SE</t>
    </r>
  </si>
  <si>
    <t>AH</t>
  </si>
  <si>
    <t>WH</t>
  </si>
  <si>
    <t>SE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</si>
  <si>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</si>
  <si>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</si>
  <si>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</si>
  <si>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</si>
  <si>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</si>
  <si>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</si>
  <si>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</si>
  <si>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</si>
  <si>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</si>
  <si>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</si>
  <si>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</si>
  <si>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</si>
  <si>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</si>
  <si>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Available time per single machine</t>
  </si>
  <si>
    <t>Calculation model for a CELL 2</t>
  </si>
  <si>
    <t>Cell</t>
  </si>
  <si>
    <t>Product</t>
  </si>
  <si>
    <r>
      <t>NH</t>
    </r>
    <r>
      <rPr>
        <sz val="20"/>
        <color rgb="FF000000"/>
        <rFont val="Times New Roman"/>
        <family val="1"/>
      </rPr>
      <t xml:space="preserve"> = </t>
    </r>
    <r>
      <rPr>
        <sz val="20"/>
        <color rgb="FF000000"/>
        <rFont val="Symbol"/>
        <family val="1"/>
        <charset val="2"/>
      </rPr>
      <t>å</t>
    </r>
    <r>
      <rPr>
        <sz val="20"/>
        <color rgb="FF000000"/>
        <rFont val="Times New Roman"/>
        <family val="1"/>
      </rPr>
      <t xml:space="preserve"> </t>
    </r>
    <r>
      <rPr>
        <vertAlign val="subscript"/>
        <sz val="20"/>
        <color rgb="FF000000"/>
        <rFont val="Times New Roman"/>
        <family val="1"/>
      </rPr>
      <t>j = 1…J</t>
    </r>
    <r>
      <rPr>
        <sz val="20"/>
        <color rgb="FF000000"/>
        <rFont val="Times New Roman"/>
        <family val="1"/>
      </rPr>
      <t xml:space="preserve"> </t>
    </r>
    <r>
      <rPr>
        <sz val="20"/>
        <color rgb="FF000000"/>
        <rFont val="Symbol"/>
        <family val="1"/>
        <charset val="2"/>
      </rPr>
      <t>í</t>
    </r>
    <r>
      <rPr>
        <sz val="20"/>
        <color rgb="FF000000"/>
        <rFont val="Times New Roman"/>
        <family val="1"/>
      </rPr>
      <t xml:space="preserve">TLij * Qj/(1-SRj) + TPMij * Nlj </t>
    </r>
    <r>
      <rPr>
        <sz val="20"/>
        <color rgb="FF000000"/>
        <rFont val="Symbol"/>
        <family val="1"/>
        <charset val="2"/>
      </rPr>
      <t>ý</t>
    </r>
    <r>
      <rPr>
        <sz val="20"/>
        <color rgb="FF000000"/>
        <rFont val="Times New Roman"/>
        <family val="1"/>
      </rPr>
      <t xml:space="preserve"> * 1/Ai * 1/HCi * 1/TRi = </t>
    </r>
  </si>
  <si>
    <t>M5 bis</t>
  </si>
  <si>
    <t xml:space="preserve">   M5bis</t>
  </si>
  <si>
    <t>Cell 2</t>
  </si>
  <si>
    <t>Cell 1</t>
  </si>
  <si>
    <t>Yearly cost</t>
  </si>
  <si>
    <t>Euro/year</t>
  </si>
  <si>
    <t>Assumption: average machine per operator</t>
  </si>
  <si>
    <t>Number of operators</t>
  </si>
  <si>
    <t>operators / shift</t>
  </si>
  <si>
    <t>Labor cost</t>
  </si>
  <si>
    <t>First shift</t>
  </si>
  <si>
    <t>Euro/hour</t>
  </si>
  <si>
    <t>Second shift</t>
  </si>
  <si>
    <t>Total cost</t>
  </si>
  <si>
    <t>SOLUTION: how much does this solution cost?</t>
  </si>
  <si>
    <t>Availability of fixtures</t>
  </si>
  <si>
    <t>SOLUTION: which association of products/machines per cell?</t>
  </si>
  <si>
    <t>STEP 1 ROC</t>
  </si>
  <si>
    <t>STEP 2-3 ROC</t>
  </si>
  <si>
    <t>STEP 4-1 ROC</t>
  </si>
  <si>
    <t>STOP</t>
  </si>
  <si>
    <t>***</t>
  </si>
  <si>
    <t>*** = exceptional products</t>
  </si>
  <si>
    <t>Remark: pieces being worked outside of cell will not take advantage of setup time reduction and lot size decrease (this concerns the exceptional product types - SEE ROC-King SOLUTION)</t>
  </si>
  <si>
    <t>No. of new machines</t>
  </si>
  <si>
    <t>(current)</t>
  </si>
  <si>
    <t>No. of needed machines</t>
  </si>
  <si>
    <t>No. of existing machines</t>
  </si>
  <si>
    <t>No.of operators needed per shift</t>
  </si>
  <si>
    <t>Number of existing machines</t>
  </si>
  <si>
    <t>No. of needed machines (per type)</t>
  </si>
  <si>
    <t>No. of needed machines in cell 2</t>
  </si>
  <si>
    <t>No. of needed machines in cell 1</t>
  </si>
  <si>
    <t>No. of additional operators</t>
  </si>
  <si>
    <t>Current no. of operators</t>
  </si>
  <si>
    <t>Total no. of needed operators</t>
  </si>
  <si>
    <t>Drilling Machine</t>
  </si>
  <si>
    <t>(Reordered)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</si>
</sst>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  <numFmt numFmtId="170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MS Sans Serif"/>
      <family val="2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rgb="FF000000"/>
      <name val="Symbol"/>
      <family val="1"/>
      <charset val="2"/>
    </font>
    <font>
      <vertAlign val="subscript"/>
      <sz val="20"/>
      <color rgb="FF00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color rgb="FF000000"/>
      <name val="Tahoma"/>
      <family val="2"/>
    </font>
    <font>
      <b/>
      <vertAlign val="subscript"/>
      <sz val="20"/>
      <color rgb="FF000000"/>
      <name val="Tahoma"/>
      <family val="2"/>
    </font>
    <font>
      <b/>
      <sz val="20"/>
      <color rgb="FF000000"/>
      <name val="Symbol"/>
      <family val="1"/>
      <charset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i/>
      <sz val="8"/>
      <color indexed="23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5" fillId="0" borderId="5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/>
    </xf>
    <xf numFmtId="0" fontId="3" fillId="0" borderId="32" xfId="0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 applyProtection="1">
      <alignment horizontal="center"/>
    </xf>
    <xf numFmtId="166" fontId="4" fillId="0" borderId="33" xfId="0" applyNumberFormat="1" applyFont="1" applyFill="1" applyBorder="1" applyAlignment="1" applyProtection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0" fillId="0" borderId="34" xfId="0" applyBorder="1"/>
    <xf numFmtId="0" fontId="0" fillId="0" borderId="5" xfId="0" applyBorder="1"/>
    <xf numFmtId="0" fontId="4" fillId="0" borderId="0" xfId="0" applyFont="1" applyAlignment="1">
      <alignment wrapText="1"/>
    </xf>
    <xf numFmtId="168" fontId="8" fillId="5" borderId="17" xfId="0" applyNumberFormat="1" applyFont="1" applyFill="1" applyBorder="1" applyAlignment="1" applyProtection="1">
      <alignment horizontal="center"/>
      <protection locked="0"/>
    </xf>
    <xf numFmtId="168" fontId="8" fillId="0" borderId="1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Alignment="1"/>
    <xf numFmtId="0" fontId="18" fillId="0" borderId="0" xfId="0" applyFont="1" applyAlignment="1">
      <alignment horizontal="center" vertical="center" readingOrder="1"/>
    </xf>
    <xf numFmtId="0" fontId="21" fillId="0" borderId="0" xfId="0" applyFont="1"/>
    <xf numFmtId="0" fontId="21" fillId="0" borderId="5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33" xfId="0" applyFont="1" applyBorder="1"/>
    <xf numFmtId="0" fontId="21" fillId="0" borderId="20" xfId="0" applyFont="1" applyBorder="1"/>
    <xf numFmtId="0" fontId="21" fillId="0" borderId="4" xfId="0" applyFont="1" applyBorder="1" applyAlignment="1">
      <alignment horizontal="center" wrapText="1"/>
    </xf>
    <xf numFmtId="166" fontId="16" fillId="0" borderId="36" xfId="0" applyNumberFormat="1" applyFont="1" applyFill="1" applyBorder="1" applyAlignment="1" applyProtection="1">
      <alignment horizontal="center"/>
    </xf>
    <xf numFmtId="1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5" fontId="16" fillId="0" borderId="36" xfId="0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17" xfId="0" applyFont="1" applyBorder="1" applyProtection="1"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0" fontId="16" fillId="0" borderId="0" xfId="0" applyFont="1"/>
    <xf numFmtId="0" fontId="22" fillId="0" borderId="0" xfId="0" applyFont="1"/>
    <xf numFmtId="0" fontId="21" fillId="0" borderId="0" xfId="0" applyFont="1" applyBorder="1"/>
    <xf numFmtId="0" fontId="16" fillId="0" borderId="0" xfId="0" applyFont="1" applyAlignment="1"/>
    <xf numFmtId="0" fontId="23" fillId="0" borderId="5" xfId="0" applyFont="1" applyFill="1" applyBorder="1" applyAlignment="1">
      <alignment horizontal="right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>
      <alignment horizontal="right"/>
    </xf>
    <xf numFmtId="0" fontId="24" fillId="0" borderId="9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165" fontId="16" fillId="0" borderId="26" xfId="0" applyNumberFormat="1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66" fontId="16" fillId="0" borderId="28" xfId="0" applyNumberFormat="1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65" fontId="16" fillId="0" borderId="28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6" fontId="16" fillId="0" borderId="29" xfId="0" applyNumberFormat="1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65" fontId="16" fillId="0" borderId="29" xfId="0" applyNumberFormat="1" applyFont="1" applyFill="1" applyBorder="1" applyAlignment="1" applyProtection="1">
      <alignment horizontal="center"/>
      <protection locked="0"/>
    </xf>
    <xf numFmtId="166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wrapTex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Protection="1">
      <protection locked="0"/>
    </xf>
    <xf numFmtId="0" fontId="21" fillId="0" borderId="0" xfId="0" applyFont="1" applyAlignment="1">
      <alignment vertical="top" wrapText="1"/>
    </xf>
    <xf numFmtId="0" fontId="16" fillId="0" borderId="16" xfId="0" applyFont="1" applyBorder="1" applyAlignment="1" applyProtection="1">
      <alignment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wrapText="1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</xf>
    <xf numFmtId="167" fontId="21" fillId="0" borderId="3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21" xfId="0" applyFont="1" applyBorder="1"/>
    <xf numFmtId="169" fontId="21" fillId="0" borderId="0" xfId="0" applyNumberFormat="1" applyFont="1"/>
    <xf numFmtId="0" fontId="21" fillId="0" borderId="0" xfId="0" applyFont="1" applyFill="1"/>
    <xf numFmtId="0" fontId="16" fillId="0" borderId="0" xfId="0" applyFont="1" applyAlignment="1">
      <alignment wrapText="1"/>
    </xf>
    <xf numFmtId="0" fontId="21" fillId="9" borderId="16" xfId="0" applyFont="1" applyFill="1" applyBorder="1"/>
    <xf numFmtId="0" fontId="21" fillId="9" borderId="17" xfId="0" applyFont="1" applyFill="1" applyBorder="1"/>
    <xf numFmtId="0" fontId="21" fillId="9" borderId="33" xfId="0" applyFont="1" applyFill="1" applyBorder="1"/>
    <xf numFmtId="0" fontId="21" fillId="9" borderId="20" xfId="0" applyFont="1" applyFill="1" applyBorder="1"/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0" fillId="0" borderId="4" xfId="0" applyBorder="1"/>
    <xf numFmtId="0" fontId="3" fillId="4" borderId="17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4" borderId="4" xfId="0" applyFill="1" applyBorder="1"/>
    <xf numFmtId="168" fontId="8" fillId="0" borderId="20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 wrapText="1"/>
    </xf>
    <xf numFmtId="0" fontId="21" fillId="0" borderId="4" xfId="0" applyFont="1" applyBorder="1" applyAlignment="1" applyProtection="1">
      <alignment horizontal="center" wrapText="1"/>
      <protection locked="0"/>
    </xf>
    <xf numFmtId="170" fontId="0" fillId="0" borderId="17" xfId="1" applyNumberFormat="1" applyFont="1" applyBorder="1" applyAlignment="1">
      <alignment horizontal="center"/>
    </xf>
    <xf numFmtId="170" fontId="0" fillId="0" borderId="20" xfId="1" applyNumberFormat="1" applyFont="1" applyBorder="1" applyAlignment="1">
      <alignment horizontal="center"/>
    </xf>
    <xf numFmtId="0" fontId="21" fillId="0" borderId="17" xfId="0" applyFont="1" applyBorder="1" applyAlignment="1" applyProtection="1">
      <alignment wrapText="1"/>
      <protection locked="0"/>
    </xf>
    <xf numFmtId="0" fontId="21" fillId="0" borderId="20" xfId="0" applyFont="1" applyBorder="1" applyAlignment="1" applyProtection="1">
      <alignment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5" fillId="11" borderId="1" xfId="0" applyFont="1" applyFill="1" applyBorder="1"/>
    <xf numFmtId="170" fontId="25" fillId="11" borderId="3" xfId="0" applyNumberFormat="1" applyFont="1" applyFill="1" applyBorder="1"/>
    <xf numFmtId="0" fontId="16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26" fillId="0" borderId="0" xfId="0" applyFont="1"/>
    <xf numFmtId="0" fontId="26" fillId="0" borderId="27" xfId="0" applyFont="1" applyBorder="1"/>
    <xf numFmtId="0" fontId="26" fillId="0" borderId="24" xfId="0" applyFont="1" applyBorder="1"/>
    <xf numFmtId="0" fontId="26" fillId="0" borderId="25" xfId="0" applyFont="1" applyBorder="1"/>
    <xf numFmtId="0" fontId="27" fillId="0" borderId="0" xfId="0" applyFont="1"/>
    <xf numFmtId="0" fontId="26" fillId="0" borderId="23" xfId="0" applyFont="1" applyBorder="1"/>
    <xf numFmtId="0" fontId="26" fillId="0" borderId="12" xfId="0" applyFont="1" applyBorder="1"/>
    <xf numFmtId="0" fontId="26" fillId="0" borderId="13" xfId="0" applyFont="1" applyBorder="1"/>
    <xf numFmtId="0" fontId="29" fillId="0" borderId="6" xfId="0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>
      <alignment horizontal="right"/>
    </xf>
    <xf numFmtId="0" fontId="29" fillId="0" borderId="43" xfId="0" applyFont="1" applyFill="1" applyBorder="1" applyAlignment="1" applyProtection="1">
      <alignment horizontal="center" vertical="center"/>
    </xf>
    <xf numFmtId="0" fontId="29" fillId="0" borderId="46" xfId="0" applyFont="1" applyFill="1" applyBorder="1" applyAlignment="1" applyProtection="1">
      <alignment horizontal="center" vertical="center"/>
    </xf>
    <xf numFmtId="0" fontId="29" fillId="0" borderId="47" xfId="0" applyFont="1" applyFill="1" applyBorder="1" applyAlignment="1" applyProtection="1">
      <alignment horizontal="center" vertical="center"/>
    </xf>
    <xf numFmtId="166" fontId="31" fillId="0" borderId="5" xfId="0" applyNumberFormat="1" applyFont="1" applyFill="1" applyBorder="1" applyAlignment="1" applyProtection="1">
      <alignment horizontal="center"/>
    </xf>
    <xf numFmtId="0" fontId="29" fillId="0" borderId="48" xfId="0" applyFont="1" applyFill="1" applyBorder="1" applyAlignment="1" applyProtection="1">
      <alignment horizontal="center" vertical="center"/>
    </xf>
    <xf numFmtId="0" fontId="29" fillId="0" borderId="44" xfId="0" applyFont="1" applyFill="1" applyBorder="1" applyAlignment="1" applyProtection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</xf>
    <xf numFmtId="0" fontId="26" fillId="0" borderId="25" xfId="0" applyFont="1" applyFill="1" applyBorder="1"/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11" xfId="0" applyFont="1" applyFill="1" applyBorder="1"/>
    <xf numFmtId="166" fontId="31" fillId="0" borderId="16" xfId="0" applyNumberFormat="1" applyFont="1" applyFill="1" applyBorder="1" applyAlignment="1" applyProtection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11" xfId="0" applyFont="1" applyBorder="1"/>
    <xf numFmtId="165" fontId="31" fillId="0" borderId="16" xfId="0" applyNumberFormat="1" applyFont="1" applyFill="1" applyBorder="1" applyAlignment="1" applyProtection="1">
      <alignment horizontal="center"/>
    </xf>
    <xf numFmtId="0" fontId="27" fillId="0" borderId="17" xfId="0" applyFont="1" applyFill="1" applyBorder="1" applyAlignment="1" applyProtection="1">
      <alignment horizontal="center" vertical="center"/>
    </xf>
    <xf numFmtId="0" fontId="26" fillId="0" borderId="13" xfId="0" applyFont="1" applyFill="1" applyBorder="1"/>
    <xf numFmtId="166" fontId="31" fillId="0" borderId="33" xfId="0" applyNumberFormat="1" applyFont="1" applyFill="1" applyBorder="1" applyAlignment="1" applyProtection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6" fontId="31" fillId="0" borderId="34" xfId="0" applyNumberFormat="1" applyFont="1" applyFill="1" applyBorder="1" applyAlignment="1" applyProtection="1">
      <alignment horizontal="center"/>
    </xf>
    <xf numFmtId="0" fontId="30" fillId="8" borderId="26" xfId="0" applyFont="1" applyFill="1" applyBorder="1" applyAlignment="1" applyProtection="1">
      <alignment horizontal="center" vertical="center"/>
    </xf>
    <xf numFmtId="0" fontId="32" fillId="8" borderId="28" xfId="0" applyFont="1" applyFill="1" applyBorder="1"/>
    <xf numFmtId="0" fontId="32" fillId="8" borderId="29" xfId="0" applyFont="1" applyFill="1" applyBorder="1"/>
    <xf numFmtId="0" fontId="29" fillId="8" borderId="26" xfId="0" applyFont="1" applyFill="1" applyBorder="1" applyAlignment="1" applyProtection="1">
      <alignment horizontal="center" vertical="center"/>
    </xf>
    <xf numFmtId="0" fontId="26" fillId="8" borderId="28" xfId="0" applyFont="1" applyFill="1" applyBorder="1"/>
    <xf numFmtId="0" fontId="26" fillId="8" borderId="29" xfId="0" applyFont="1" applyFill="1" applyBorder="1"/>
    <xf numFmtId="166" fontId="33" fillId="8" borderId="43" xfId="0" applyNumberFormat="1" applyFont="1" applyFill="1" applyBorder="1" applyAlignment="1" applyProtection="1">
      <alignment horizontal="center"/>
    </xf>
    <xf numFmtId="0" fontId="32" fillId="8" borderId="46" xfId="0" applyFont="1" applyFill="1" applyBorder="1"/>
    <xf numFmtId="0" fontId="32" fillId="8" borderId="47" xfId="0" applyFont="1" applyFill="1" applyBorder="1"/>
    <xf numFmtId="166" fontId="31" fillId="8" borderId="43" xfId="0" applyNumberFormat="1" applyFont="1" applyFill="1" applyBorder="1" applyAlignment="1" applyProtection="1">
      <alignment horizontal="center"/>
    </xf>
    <xf numFmtId="0" fontId="26" fillId="8" borderId="46" xfId="0" applyFont="1" applyFill="1" applyBorder="1"/>
    <xf numFmtId="0" fontId="26" fillId="8" borderId="47" xfId="0" applyFont="1" applyFill="1" applyBorder="1"/>
    <xf numFmtId="166" fontId="4" fillId="0" borderId="50" xfId="0" applyNumberFormat="1" applyFont="1" applyFill="1" applyBorder="1" applyAlignment="1" applyProtection="1">
      <alignment horizontal="center"/>
    </xf>
    <xf numFmtId="165" fontId="4" fillId="0" borderId="50" xfId="0" applyNumberFormat="1" applyFont="1" applyFill="1" applyBorder="1" applyAlignment="1" applyProtection="1">
      <alignment horizontal="center"/>
    </xf>
    <xf numFmtId="166" fontId="4" fillId="0" borderId="51" xfId="0" applyNumberFormat="1" applyFont="1" applyFill="1" applyBorder="1" applyAlignment="1" applyProtection="1">
      <alignment horizontal="center"/>
    </xf>
    <xf numFmtId="0" fontId="3" fillId="4" borderId="37" xfId="0" applyFont="1" applyFill="1" applyBorder="1" applyAlignment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43" xfId="0" applyFont="1" applyBorder="1"/>
    <xf numFmtId="0" fontId="2" fillId="0" borderId="46" xfId="0" applyFont="1" applyBorder="1"/>
    <xf numFmtId="0" fontId="2" fillId="6" borderId="46" xfId="0" applyFont="1" applyFill="1" applyBorder="1"/>
    <xf numFmtId="0" fontId="2" fillId="0" borderId="47" xfId="0" applyFont="1" applyBorder="1"/>
    <xf numFmtId="0" fontId="3" fillId="0" borderId="53" xfId="0" applyFont="1" applyFill="1" applyBorder="1" applyAlignment="1">
      <alignment horizontal="center" vertical="center"/>
    </xf>
    <xf numFmtId="166" fontId="4" fillId="0" borderId="49" xfId="0" applyNumberFormat="1" applyFont="1" applyFill="1" applyBorder="1" applyAlignment="1" applyProtection="1">
      <alignment horizontal="center"/>
    </xf>
    <xf numFmtId="166" fontId="3" fillId="0" borderId="15" xfId="0" applyNumberFormat="1" applyFont="1" applyFill="1" applyBorder="1" applyAlignment="1" applyProtection="1">
      <alignment horizontal="center"/>
    </xf>
    <xf numFmtId="166" fontId="3" fillId="0" borderId="17" xfId="0" applyNumberFormat="1" applyFont="1" applyFill="1" applyBorder="1" applyAlignment="1" applyProtection="1">
      <alignment horizontal="center"/>
    </xf>
    <xf numFmtId="166" fontId="3" fillId="0" borderId="20" xfId="0" applyNumberFormat="1" applyFont="1" applyFill="1" applyBorder="1" applyAlignment="1" applyProtection="1">
      <alignment horizontal="center"/>
    </xf>
    <xf numFmtId="165" fontId="3" fillId="0" borderId="17" xfId="0" applyNumberFormat="1" applyFont="1" applyFill="1" applyBorder="1" applyAlignment="1" applyProtection="1">
      <alignment horizontal="center"/>
    </xf>
    <xf numFmtId="0" fontId="11" fillId="0" borderId="43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7" fontId="3" fillId="0" borderId="3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7" fillId="0" borderId="36" xfId="0" applyNumberFormat="1" applyFont="1" applyFill="1" applyBorder="1" applyAlignment="1" applyProtection="1">
      <alignment horizontal="center"/>
      <protection locked="0"/>
    </xf>
    <xf numFmtId="165" fontId="7" fillId="5" borderId="36" xfId="0" applyNumberFormat="1" applyFont="1" applyFill="1" applyBorder="1" applyAlignment="1" applyProtection="1">
      <alignment horizontal="center"/>
      <protection locked="0"/>
    </xf>
    <xf numFmtId="165" fontId="7" fillId="0" borderId="54" xfId="0" applyNumberFormat="1" applyFont="1" applyFill="1" applyBorder="1" applyAlignment="1" applyProtection="1">
      <alignment horizontal="center"/>
      <protection locked="0"/>
    </xf>
    <xf numFmtId="38" fontId="8" fillId="5" borderId="50" xfId="1" applyNumberFormat="1" applyFont="1" applyFill="1" applyBorder="1" applyAlignment="1" applyProtection="1">
      <alignment horizontal="center" vertical="center"/>
      <protection locked="0"/>
    </xf>
    <xf numFmtId="38" fontId="8" fillId="0" borderId="50" xfId="1" applyNumberFormat="1" applyFont="1" applyFill="1" applyBorder="1" applyAlignment="1" applyProtection="1">
      <alignment horizontal="center" vertical="center"/>
      <protection locked="0"/>
    </xf>
    <xf numFmtId="165" fontId="7" fillId="0" borderId="55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35" fillId="0" borderId="5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6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0" borderId="4" xfId="0" applyFont="1" applyBorder="1" applyProtection="1"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33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3" xfId="0" applyFont="1" applyBorder="1" applyAlignment="1" applyProtection="1">
      <alignment horizontal="center"/>
      <protection locked="0"/>
    </xf>
    <xf numFmtId="0" fontId="35" fillId="0" borderId="19" xfId="0" applyFont="1" applyBorder="1" applyAlignment="1" applyProtection="1">
      <alignment horizontal="center"/>
      <protection locked="0"/>
    </xf>
    <xf numFmtId="0" fontId="35" fillId="0" borderId="19" xfId="0" applyFont="1" applyBorder="1" applyProtection="1"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/>
    <xf numFmtId="170" fontId="0" fillId="0" borderId="42" xfId="0" applyNumberFormat="1" applyFont="1" applyBorder="1"/>
    <xf numFmtId="0" fontId="0" fillId="0" borderId="0" xfId="0" applyFont="1" applyAlignment="1">
      <alignment horizontal="center"/>
    </xf>
    <xf numFmtId="0" fontId="35" fillId="0" borderId="8" xfId="0" applyFont="1" applyBorder="1" applyAlignment="1" applyProtection="1">
      <alignment horizontal="center"/>
      <protection locked="0"/>
    </xf>
    <xf numFmtId="0" fontId="35" fillId="0" borderId="40" xfId="0" applyFont="1" applyBorder="1" applyAlignment="1" applyProtection="1">
      <alignment horizontal="center"/>
      <protection locked="0"/>
    </xf>
    <xf numFmtId="0" fontId="35" fillId="0" borderId="40" xfId="0" applyFont="1" applyBorder="1" applyProtection="1">
      <protection locked="0"/>
    </xf>
    <xf numFmtId="0" fontId="35" fillId="0" borderId="52" xfId="0" applyFont="1" applyFill="1" applyBorder="1" applyAlignment="1" applyProtection="1">
      <alignment horizontal="center" vertical="center"/>
      <protection locked="0"/>
    </xf>
    <xf numFmtId="0" fontId="34" fillId="0" borderId="46" xfId="0" applyFont="1" applyBorder="1" applyAlignment="1" applyProtection="1">
      <alignment horizontal="center" wrapText="1"/>
      <protection locked="0"/>
    </xf>
    <xf numFmtId="0" fontId="34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170" fontId="0" fillId="0" borderId="42" xfId="1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33" xfId="0" applyFont="1" applyBorder="1" applyAlignment="1">
      <alignment horizontal="center" wrapText="1"/>
    </xf>
    <xf numFmtId="0" fontId="25" fillId="0" borderId="41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165" fontId="7" fillId="0" borderId="50" xfId="0" applyNumberFormat="1" applyFont="1" applyFill="1" applyBorder="1" applyAlignment="1" applyProtection="1">
      <alignment horizontal="center"/>
      <protection locked="0"/>
    </xf>
    <xf numFmtId="165" fontId="7" fillId="0" borderId="51" xfId="0" applyNumberFormat="1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166" fontId="16" fillId="0" borderId="4" xfId="0" applyNumberFormat="1" applyFont="1" applyFill="1" applyBorder="1" applyAlignment="1" applyProtection="1">
      <alignment horizontal="center"/>
    </xf>
    <xf numFmtId="166" fontId="4" fillId="0" borderId="4" xfId="0" applyNumberFormat="1" applyFont="1" applyFill="1" applyBorder="1" applyAlignment="1" applyProtection="1">
      <alignment horizontal="center"/>
    </xf>
    <xf numFmtId="165" fontId="16" fillId="0" borderId="4" xfId="0" applyNumberFormat="1" applyFont="1" applyFill="1" applyBorder="1" applyAlignment="1" applyProtection="1">
      <alignment horizontal="center"/>
    </xf>
    <xf numFmtId="166" fontId="16" fillId="0" borderId="38" xfId="0" applyNumberFormat="1" applyFont="1" applyFill="1" applyBorder="1" applyAlignment="1" applyProtection="1">
      <alignment horizontal="center"/>
    </xf>
    <xf numFmtId="0" fontId="21" fillId="0" borderId="49" xfId="0" applyFont="1" applyBorder="1" applyAlignment="1">
      <alignment horizontal="center" vertical="center"/>
    </xf>
    <xf numFmtId="165" fontId="16" fillId="0" borderId="50" xfId="0" applyNumberFormat="1" applyFont="1" applyFill="1" applyBorder="1" applyAlignment="1" applyProtection="1">
      <alignment horizontal="center"/>
      <protection locked="0"/>
    </xf>
    <xf numFmtId="165" fontId="16" fillId="0" borderId="51" xfId="0" applyNumberFormat="1" applyFont="1" applyFill="1" applyBorder="1" applyAlignment="1" applyProtection="1">
      <alignment horizontal="center"/>
      <protection locked="0"/>
    </xf>
    <xf numFmtId="0" fontId="21" fillId="0" borderId="49" xfId="0" applyFont="1" applyBorder="1" applyAlignment="1">
      <alignment horizontal="center" vertical="center" wrapText="1"/>
    </xf>
    <xf numFmtId="38" fontId="21" fillId="0" borderId="50" xfId="1" applyNumberFormat="1" applyFont="1" applyBorder="1" applyAlignment="1" applyProtection="1">
      <alignment horizontal="center" vertical="center"/>
      <protection locked="0"/>
    </xf>
    <xf numFmtId="38" fontId="21" fillId="0" borderId="51" xfId="1" applyNumberFormat="1" applyFont="1" applyBorder="1" applyAlignment="1" applyProtection="1">
      <alignment horizontal="center" vertical="center"/>
      <protection locked="0"/>
    </xf>
    <xf numFmtId="168" fontId="21" fillId="0" borderId="50" xfId="0" applyNumberFormat="1" applyFont="1" applyBorder="1" applyAlignment="1" applyProtection="1">
      <alignment horizontal="center"/>
      <protection locked="0"/>
    </xf>
    <xf numFmtId="168" fontId="21" fillId="0" borderId="51" xfId="0" applyNumberFormat="1" applyFont="1" applyBorder="1" applyAlignment="1" applyProtection="1">
      <alignment horizontal="center"/>
      <protection locked="0"/>
    </xf>
    <xf numFmtId="167" fontId="21" fillId="0" borderId="34" xfId="1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15" xfId="0" applyFont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>
      <alignment wrapText="1"/>
    </xf>
    <xf numFmtId="0" fontId="21" fillId="0" borderId="4" xfId="0" applyFont="1" applyFill="1" applyBorder="1" applyAlignment="1">
      <alignment horizontal="center"/>
    </xf>
    <xf numFmtId="0" fontId="35" fillId="0" borderId="16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right"/>
    </xf>
    <xf numFmtId="165" fontId="7" fillId="0" borderId="25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166" fontId="7" fillId="0" borderId="13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Border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66" fontId="4" fillId="0" borderId="55" xfId="0" applyNumberFormat="1" applyFont="1" applyFill="1" applyBorder="1" applyAlignment="1" applyProtection="1">
      <alignment horizontal="center"/>
    </xf>
    <xf numFmtId="166" fontId="4" fillId="0" borderId="36" xfId="0" applyNumberFormat="1" applyFont="1" applyFill="1" applyBorder="1" applyAlignment="1" applyProtection="1">
      <alignment horizontal="center"/>
    </xf>
    <xf numFmtId="165" fontId="4" fillId="0" borderId="36" xfId="0" applyNumberFormat="1" applyFont="1" applyFill="1" applyBorder="1" applyAlignment="1" applyProtection="1">
      <alignment horizontal="center"/>
    </xf>
    <xf numFmtId="166" fontId="4" fillId="0" borderId="54" xfId="0" applyNumberFormat="1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165" fontId="7" fillId="0" borderId="27" xfId="0" applyNumberFormat="1" applyFont="1" applyFill="1" applyBorder="1" applyAlignment="1" applyProtection="1">
      <alignment horizontal="center"/>
      <protection locked="0"/>
    </xf>
    <xf numFmtId="166" fontId="7" fillId="0" borderId="22" xfId="0" applyNumberFormat="1" applyFont="1" applyFill="1" applyBorder="1" applyAlignment="1" applyProtection="1">
      <alignment horizontal="center"/>
      <protection locked="0"/>
    </xf>
    <xf numFmtId="166" fontId="7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38" fontId="8" fillId="0" borderId="4" xfId="1" applyNumberFormat="1" applyFont="1" applyBorder="1" applyAlignment="1" applyProtection="1">
      <alignment horizontal="center" vertical="center"/>
      <protection locked="0"/>
    </xf>
    <xf numFmtId="38" fontId="8" fillId="0" borderId="5" xfId="1" applyNumberFormat="1" applyFont="1" applyBorder="1" applyAlignment="1" applyProtection="1">
      <alignment horizontal="center" vertical="center"/>
      <protection locked="0"/>
    </xf>
    <xf numFmtId="38" fontId="8" fillId="0" borderId="14" xfId="1" applyNumberFormat="1" applyFont="1" applyBorder="1" applyAlignment="1" applyProtection="1">
      <alignment horizontal="center" vertical="center"/>
      <protection locked="0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38" fontId="8" fillId="0" borderId="16" xfId="1" applyNumberFormat="1" applyFont="1" applyBorder="1" applyAlignment="1" applyProtection="1">
      <alignment horizontal="center" vertical="center"/>
      <protection locked="0"/>
    </xf>
    <xf numFmtId="38" fontId="8" fillId="0" borderId="33" xfId="1" applyNumberFormat="1" applyFont="1" applyBorder="1" applyAlignment="1" applyProtection="1">
      <alignment horizontal="center" vertical="center"/>
      <protection locked="0"/>
    </xf>
    <xf numFmtId="38" fontId="8" fillId="0" borderId="19" xfId="1" applyNumberFormat="1" applyFont="1" applyBorder="1" applyAlignment="1" applyProtection="1">
      <alignment horizontal="center" vertical="center"/>
      <protection locked="0"/>
    </xf>
    <xf numFmtId="38" fontId="8" fillId="5" borderId="16" xfId="1" applyNumberFormat="1" applyFont="1" applyFill="1" applyBorder="1" applyAlignment="1" applyProtection="1">
      <alignment horizontal="center" vertical="center"/>
      <protection locked="0"/>
    </xf>
    <xf numFmtId="38" fontId="8" fillId="5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0" borderId="14" xfId="0" applyFont="1" applyBorder="1" applyProtection="1"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170" fontId="0" fillId="0" borderId="15" xfId="1" applyNumberFormat="1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34" fillId="0" borderId="44" xfId="0" applyFont="1" applyBorder="1" applyAlignment="1" applyProtection="1">
      <alignment horizontal="center" wrapText="1"/>
      <protection locked="0"/>
    </xf>
    <xf numFmtId="0" fontId="34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" fillId="5" borderId="27" xfId="0" applyFont="1" applyFill="1" applyBorder="1" applyAlignment="1">
      <alignment horizontal="justify" vertical="top" wrapText="1"/>
    </xf>
    <xf numFmtId="0" fontId="3" fillId="5" borderId="24" xfId="0" applyFont="1" applyFill="1" applyBorder="1" applyAlignment="1">
      <alignment horizontal="justify" vertical="top" wrapText="1"/>
    </xf>
    <xf numFmtId="0" fontId="3" fillId="5" borderId="25" xfId="0" applyFont="1" applyFill="1" applyBorder="1" applyAlignment="1">
      <alignment horizontal="justify" vertical="top" wrapText="1"/>
    </xf>
    <xf numFmtId="0" fontId="3" fillId="5" borderId="22" xfId="0" applyFont="1" applyFill="1" applyBorder="1" applyAlignment="1">
      <alignment horizontal="justify" vertical="top" wrapText="1"/>
    </xf>
    <xf numFmtId="0" fontId="3" fillId="5" borderId="0" xfId="0" applyFont="1" applyFill="1" applyBorder="1" applyAlignment="1">
      <alignment horizontal="justify" vertical="top" wrapText="1"/>
    </xf>
    <xf numFmtId="0" fontId="3" fillId="5" borderId="11" xfId="0" applyFont="1" applyFill="1" applyBorder="1" applyAlignment="1">
      <alignment horizontal="justify" vertical="top" wrapText="1"/>
    </xf>
    <xf numFmtId="0" fontId="3" fillId="5" borderId="23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 vertical="center" readingOrder="1"/>
    </xf>
    <xf numFmtId="0" fontId="4" fillId="3" borderId="4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5" fillId="10" borderId="31" xfId="0" applyFont="1" applyFill="1" applyBorder="1" applyAlignment="1">
      <alignment horizontal="center"/>
    </xf>
    <xf numFmtId="0" fontId="25" fillId="10" borderId="30" xfId="0" applyFont="1" applyFill="1" applyBorder="1" applyAlignment="1">
      <alignment horizontal="center"/>
    </xf>
    <xf numFmtId="0" fontId="25" fillId="10" borderId="57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25" fillId="0" borderId="4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34" fillId="0" borderId="43" xfId="0" applyFont="1" applyBorder="1" applyAlignment="1" applyProtection="1">
      <alignment horizontal="center"/>
      <protection locked="0"/>
    </xf>
    <xf numFmtId="0" fontId="34" fillId="0" borderId="46" xfId="0" applyFont="1" applyBorder="1" applyAlignment="1" applyProtection="1">
      <alignment horizontal="center"/>
      <protection locked="0"/>
    </xf>
    <xf numFmtId="0" fontId="36" fillId="4" borderId="1" xfId="0" applyFont="1" applyFill="1" applyBorder="1" applyAlignment="1" applyProtection="1">
      <alignment horizontal="center"/>
      <protection locked="0"/>
    </xf>
    <xf numFmtId="0" fontId="36" fillId="4" borderId="2" xfId="0" applyFont="1" applyFill="1" applyBorder="1" applyAlignment="1" applyProtection="1">
      <alignment horizontal="center"/>
      <protection locked="0"/>
    </xf>
    <xf numFmtId="0" fontId="36" fillId="4" borderId="3" xfId="0" applyFont="1" applyFill="1" applyBorder="1" applyAlignment="1" applyProtection="1">
      <alignment horizont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zoomScale="70" zoomScaleNormal="70" workbookViewId="0"/>
  </sheetViews>
  <sheetFormatPr defaultColWidth="9.1796875" defaultRowHeight="15.5" x14ac:dyDescent="0.35"/>
  <cols>
    <col min="1" max="1" width="47.81640625" style="70" customWidth="1"/>
    <col min="2" max="2" width="13.54296875" style="70" bestFit="1" customWidth="1"/>
    <col min="3" max="3" width="22.26953125" style="70" bestFit="1" customWidth="1"/>
    <col min="4" max="4" width="19.54296875" style="70" bestFit="1" customWidth="1"/>
    <col min="5" max="5" width="18.54296875" style="70" customWidth="1"/>
    <col min="6" max="7" width="9.1796875" style="70"/>
    <col min="8" max="8" width="18.26953125" style="70" customWidth="1"/>
    <col min="9" max="9" width="9.1796875" style="70"/>
    <col min="10" max="10" width="11.453125" style="70" customWidth="1"/>
    <col min="11" max="16384" width="9.1796875" style="70"/>
  </cols>
  <sheetData>
    <row r="1" spans="1:36" x14ac:dyDescent="0.35">
      <c r="A1" s="69"/>
    </row>
    <row r="2" spans="1:36" x14ac:dyDescent="0.35">
      <c r="A2" s="69"/>
    </row>
    <row r="3" spans="1:36" ht="16" thickBot="1" x14ac:dyDescent="0.4"/>
    <row r="4" spans="1:36" ht="16" thickBot="1" x14ac:dyDescent="0.4">
      <c r="A4" s="69" t="s">
        <v>1</v>
      </c>
      <c r="B4" s="372" t="s">
        <v>0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4"/>
    </row>
    <row r="5" spans="1:36" x14ac:dyDescent="0.35">
      <c r="A5" s="7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ht="16" thickBot="1" x14ac:dyDescent="0.4">
      <c r="A6" s="72" t="s">
        <v>2</v>
      </c>
      <c r="B6" s="49"/>
      <c r="C6" s="49"/>
      <c r="D6" s="49"/>
      <c r="E6" s="49"/>
      <c r="F6" s="71"/>
      <c r="G6" s="71"/>
      <c r="H6" s="375" t="s">
        <v>3</v>
      </c>
      <c r="I6" s="375"/>
      <c r="J6" s="375"/>
      <c r="K6" s="375"/>
      <c r="L6" s="375"/>
      <c r="M6" s="37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36" ht="16" thickBot="1" x14ac:dyDescent="0.4">
      <c r="A7" s="73"/>
      <c r="B7" s="74" t="s">
        <v>5</v>
      </c>
      <c r="C7" s="74" t="s">
        <v>6</v>
      </c>
      <c r="D7" s="74" t="s">
        <v>7</v>
      </c>
      <c r="E7" s="74" t="s">
        <v>8</v>
      </c>
      <c r="F7" s="75" t="s">
        <v>9</v>
      </c>
      <c r="G7" s="71"/>
      <c r="H7" s="76"/>
      <c r="I7" s="77" t="s">
        <v>5</v>
      </c>
      <c r="J7" s="77" t="s">
        <v>6</v>
      </c>
      <c r="K7" s="77" t="s">
        <v>7</v>
      </c>
      <c r="L7" s="77" t="s">
        <v>8</v>
      </c>
      <c r="M7" s="78" t="s">
        <v>9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36" x14ac:dyDescent="0.35">
      <c r="A8" s="79" t="s">
        <v>10</v>
      </c>
      <c r="B8" s="80">
        <v>0.55000000000000004</v>
      </c>
      <c r="C8" s="81">
        <v>1.25</v>
      </c>
      <c r="D8" s="81">
        <v>0</v>
      </c>
      <c r="E8" s="81">
        <v>0</v>
      </c>
      <c r="F8" s="82">
        <v>0</v>
      </c>
      <c r="G8" s="71"/>
      <c r="H8" s="79" t="str">
        <f>A8</f>
        <v>PZ1</v>
      </c>
      <c r="I8" s="80">
        <v>3</v>
      </c>
      <c r="J8" s="81">
        <v>3</v>
      </c>
      <c r="K8" s="81">
        <v>0</v>
      </c>
      <c r="L8" s="81">
        <v>0</v>
      </c>
      <c r="M8" s="82">
        <v>0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36" x14ac:dyDescent="0.35">
      <c r="A9" s="83" t="s">
        <v>11</v>
      </c>
      <c r="B9" s="84">
        <v>0.25</v>
      </c>
      <c r="C9" s="85">
        <v>0</v>
      </c>
      <c r="D9" s="85">
        <v>0.5</v>
      </c>
      <c r="E9" s="85">
        <v>0.2</v>
      </c>
      <c r="F9" s="86">
        <v>0</v>
      </c>
      <c r="G9" s="71"/>
      <c r="H9" s="87" t="str">
        <f t="shared" ref="H9:H25" si="0">A9</f>
        <v>PZ2</v>
      </c>
      <c r="I9" s="84">
        <v>1.5</v>
      </c>
      <c r="J9" s="85">
        <v>0</v>
      </c>
      <c r="K9" s="85">
        <v>3</v>
      </c>
      <c r="L9" s="85">
        <v>2</v>
      </c>
      <c r="M9" s="86">
        <v>0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36" x14ac:dyDescent="0.35">
      <c r="A10" s="83" t="s">
        <v>12</v>
      </c>
      <c r="B10" s="84">
        <v>0.4</v>
      </c>
      <c r="C10" s="85">
        <v>0.5</v>
      </c>
      <c r="D10" s="85">
        <v>0</v>
      </c>
      <c r="E10" s="85">
        <v>0.65</v>
      </c>
      <c r="F10" s="86">
        <v>0</v>
      </c>
      <c r="G10" s="71"/>
      <c r="H10" s="87" t="str">
        <f t="shared" si="0"/>
        <v>PZ3</v>
      </c>
      <c r="I10" s="84">
        <v>2</v>
      </c>
      <c r="J10" s="85">
        <v>3</v>
      </c>
      <c r="K10" s="85">
        <v>0</v>
      </c>
      <c r="L10" s="85">
        <v>2.5</v>
      </c>
      <c r="M10" s="86">
        <v>0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36" x14ac:dyDescent="0.35">
      <c r="A11" s="83" t="s">
        <v>13</v>
      </c>
      <c r="B11" s="84">
        <v>0.4</v>
      </c>
      <c r="C11" s="85">
        <v>0</v>
      </c>
      <c r="D11" s="85">
        <v>1.25</v>
      </c>
      <c r="E11" s="85">
        <v>0.35</v>
      </c>
      <c r="F11" s="89">
        <v>0</v>
      </c>
      <c r="G11" s="71"/>
      <c r="H11" s="87" t="str">
        <f t="shared" si="0"/>
        <v>PZ4</v>
      </c>
      <c r="I11" s="84">
        <v>2</v>
      </c>
      <c r="J11" s="85">
        <v>0</v>
      </c>
      <c r="K11" s="85">
        <v>5.5</v>
      </c>
      <c r="L11" s="85">
        <v>3</v>
      </c>
      <c r="M11" s="86"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36" x14ac:dyDescent="0.35">
      <c r="A12" s="83" t="s">
        <v>14</v>
      </c>
      <c r="B12" s="84">
        <v>0.2</v>
      </c>
      <c r="C12" s="85">
        <v>0.2</v>
      </c>
      <c r="D12" s="85">
        <v>0</v>
      </c>
      <c r="E12" s="85">
        <v>0.15</v>
      </c>
      <c r="F12" s="86">
        <v>0.5</v>
      </c>
      <c r="G12" s="71"/>
      <c r="H12" s="87" t="str">
        <f t="shared" si="0"/>
        <v>DI1</v>
      </c>
      <c r="I12" s="84">
        <v>2</v>
      </c>
      <c r="J12" s="85">
        <v>1.5</v>
      </c>
      <c r="K12" s="85">
        <v>0</v>
      </c>
      <c r="L12" s="85">
        <v>2</v>
      </c>
      <c r="M12" s="86">
        <v>1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36" x14ac:dyDescent="0.35">
      <c r="A13" s="83" t="s">
        <v>15</v>
      </c>
      <c r="B13" s="84">
        <v>0.2</v>
      </c>
      <c r="C13" s="85">
        <v>0.4</v>
      </c>
      <c r="D13" s="85">
        <v>0</v>
      </c>
      <c r="E13" s="85">
        <v>0.14000000000000001</v>
      </c>
      <c r="F13" s="86">
        <v>1</v>
      </c>
      <c r="G13" s="71"/>
      <c r="H13" s="87" t="str">
        <f t="shared" si="0"/>
        <v>DI2</v>
      </c>
      <c r="I13" s="84">
        <v>1.5</v>
      </c>
      <c r="J13" s="85">
        <v>1</v>
      </c>
      <c r="K13" s="85">
        <v>0</v>
      </c>
      <c r="L13" s="85">
        <v>3</v>
      </c>
      <c r="M13" s="86">
        <v>0.5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36" x14ac:dyDescent="0.35">
      <c r="A14" s="83" t="s">
        <v>16</v>
      </c>
      <c r="B14" s="84">
        <v>0.3</v>
      </c>
      <c r="C14" s="85">
        <v>0</v>
      </c>
      <c r="D14" s="85">
        <v>0</v>
      </c>
      <c r="E14" s="85">
        <v>0.17</v>
      </c>
      <c r="F14" s="86">
        <v>0.7</v>
      </c>
      <c r="G14" s="71"/>
      <c r="H14" s="87" t="str">
        <f t="shared" si="0"/>
        <v>DI3</v>
      </c>
      <c r="I14" s="84">
        <v>1.5</v>
      </c>
      <c r="J14" s="85">
        <v>0</v>
      </c>
      <c r="K14" s="85">
        <v>0</v>
      </c>
      <c r="L14" s="85">
        <v>2</v>
      </c>
      <c r="M14" s="86">
        <v>1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6" x14ac:dyDescent="0.35">
      <c r="A15" s="83" t="s">
        <v>17</v>
      </c>
      <c r="B15" s="84">
        <v>0</v>
      </c>
      <c r="C15" s="85">
        <v>1</v>
      </c>
      <c r="D15" s="85">
        <v>0</v>
      </c>
      <c r="E15" s="85">
        <v>0.25</v>
      </c>
      <c r="F15" s="86">
        <v>0.2</v>
      </c>
      <c r="G15" s="71"/>
      <c r="H15" s="87" t="str">
        <f t="shared" si="0"/>
        <v>DI4</v>
      </c>
      <c r="I15" s="84">
        <v>0</v>
      </c>
      <c r="J15" s="85">
        <v>2</v>
      </c>
      <c r="K15" s="85">
        <v>0</v>
      </c>
      <c r="L15" s="85">
        <v>2</v>
      </c>
      <c r="M15" s="86">
        <v>0.5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36" x14ac:dyDescent="0.35">
      <c r="A16" s="83" t="s">
        <v>18</v>
      </c>
      <c r="B16" s="84">
        <v>0.2</v>
      </c>
      <c r="C16" s="85">
        <v>0</v>
      </c>
      <c r="D16" s="85">
        <v>0</v>
      </c>
      <c r="E16" s="85">
        <v>0.2</v>
      </c>
      <c r="F16" s="86">
        <v>0</v>
      </c>
      <c r="G16" s="71"/>
      <c r="H16" s="87" t="str">
        <f t="shared" si="0"/>
        <v>DI5</v>
      </c>
      <c r="I16" s="84">
        <v>1</v>
      </c>
      <c r="J16" s="85">
        <v>0</v>
      </c>
      <c r="K16" s="85">
        <v>0</v>
      </c>
      <c r="L16" s="85">
        <v>3</v>
      </c>
      <c r="M16" s="86"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36" x14ac:dyDescent="0.35">
      <c r="A17" s="83" t="s">
        <v>19</v>
      </c>
      <c r="B17" s="84">
        <v>0</v>
      </c>
      <c r="C17" s="85">
        <v>0</v>
      </c>
      <c r="D17" s="85">
        <v>0.4</v>
      </c>
      <c r="E17" s="85">
        <v>0</v>
      </c>
      <c r="F17" s="86">
        <v>0.5</v>
      </c>
      <c r="G17" s="71"/>
      <c r="H17" s="87" t="str">
        <f t="shared" si="0"/>
        <v>RO1</v>
      </c>
      <c r="I17" s="84">
        <v>0</v>
      </c>
      <c r="J17" s="85">
        <v>0</v>
      </c>
      <c r="K17" s="85">
        <v>1</v>
      </c>
      <c r="L17" s="90">
        <v>0</v>
      </c>
      <c r="M17" s="86">
        <v>2.5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36" x14ac:dyDescent="0.35">
      <c r="A18" s="83" t="s">
        <v>20</v>
      </c>
      <c r="B18" s="84">
        <v>0</v>
      </c>
      <c r="C18" s="85">
        <v>0</v>
      </c>
      <c r="D18" s="85">
        <v>0.3</v>
      </c>
      <c r="E18" s="85">
        <v>0</v>
      </c>
      <c r="F18" s="86">
        <v>0.95</v>
      </c>
      <c r="G18" s="71"/>
      <c r="H18" s="87" t="str">
        <f t="shared" si="0"/>
        <v>RO2</v>
      </c>
      <c r="I18" s="84">
        <v>0</v>
      </c>
      <c r="J18" s="85">
        <v>0</v>
      </c>
      <c r="K18" s="85">
        <v>2</v>
      </c>
      <c r="L18" s="85">
        <v>0</v>
      </c>
      <c r="M18" s="86">
        <v>3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36" x14ac:dyDescent="0.35">
      <c r="A19" s="83" t="s">
        <v>21</v>
      </c>
      <c r="B19" s="84">
        <v>0</v>
      </c>
      <c r="C19" s="85">
        <v>0</v>
      </c>
      <c r="D19" s="85">
        <v>1</v>
      </c>
      <c r="E19" s="85">
        <v>0</v>
      </c>
      <c r="F19" s="86">
        <v>0.98</v>
      </c>
      <c r="G19" s="71"/>
      <c r="H19" s="87" t="str">
        <f t="shared" si="0"/>
        <v>RO3</v>
      </c>
      <c r="I19" s="84">
        <v>0</v>
      </c>
      <c r="J19" s="85">
        <v>0</v>
      </c>
      <c r="K19" s="85">
        <v>1</v>
      </c>
      <c r="L19" s="85">
        <v>0</v>
      </c>
      <c r="M19" s="86">
        <v>2.5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36" x14ac:dyDescent="0.35">
      <c r="A20" s="83" t="s">
        <v>22</v>
      </c>
      <c r="B20" s="84">
        <v>0</v>
      </c>
      <c r="C20" s="85">
        <v>0</v>
      </c>
      <c r="D20" s="85">
        <v>0.2</v>
      </c>
      <c r="E20" s="85">
        <v>0</v>
      </c>
      <c r="F20" s="86">
        <v>1.05</v>
      </c>
      <c r="G20" s="71"/>
      <c r="H20" s="87" t="str">
        <f t="shared" si="0"/>
        <v>RO4</v>
      </c>
      <c r="I20" s="84">
        <v>0</v>
      </c>
      <c r="J20" s="85">
        <v>0</v>
      </c>
      <c r="K20" s="85">
        <v>2.2000000000000002</v>
      </c>
      <c r="L20" s="85">
        <v>0</v>
      </c>
      <c r="M20" s="86">
        <v>3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36" x14ac:dyDescent="0.35">
      <c r="A21" s="83" t="s">
        <v>23</v>
      </c>
      <c r="B21" s="84">
        <v>0</v>
      </c>
      <c r="C21" s="85">
        <v>0</v>
      </c>
      <c r="D21" s="85">
        <v>0.5</v>
      </c>
      <c r="E21" s="85">
        <v>0</v>
      </c>
      <c r="F21" s="86">
        <v>0.65</v>
      </c>
      <c r="G21" s="71"/>
      <c r="H21" s="87" t="str">
        <f t="shared" si="0"/>
        <v>RO5</v>
      </c>
      <c r="I21" s="84">
        <v>0</v>
      </c>
      <c r="J21" s="85">
        <v>0</v>
      </c>
      <c r="K21" s="90">
        <v>2</v>
      </c>
      <c r="L21" s="85">
        <v>0</v>
      </c>
      <c r="M21" s="89">
        <v>4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36" x14ac:dyDescent="0.35">
      <c r="A22" s="83" t="s">
        <v>32</v>
      </c>
      <c r="B22" s="84">
        <v>0.5</v>
      </c>
      <c r="C22" s="85">
        <v>0.3</v>
      </c>
      <c r="D22" s="85">
        <v>0</v>
      </c>
      <c r="E22" s="85">
        <v>0</v>
      </c>
      <c r="F22" s="86">
        <v>1.2</v>
      </c>
      <c r="G22" s="71"/>
      <c r="H22" s="87" t="str">
        <f>A22</f>
        <v>SP1</v>
      </c>
      <c r="I22" s="85">
        <v>1.5</v>
      </c>
      <c r="J22" s="85">
        <v>0.5</v>
      </c>
      <c r="K22" s="85">
        <v>0</v>
      </c>
      <c r="L22" s="85">
        <v>0</v>
      </c>
      <c r="M22" s="86">
        <v>2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36" x14ac:dyDescent="0.35">
      <c r="A23" s="83" t="s">
        <v>33</v>
      </c>
      <c r="B23" s="84">
        <v>0.45</v>
      </c>
      <c r="C23" s="85">
        <v>0.5</v>
      </c>
      <c r="D23" s="85">
        <v>0</v>
      </c>
      <c r="E23" s="85">
        <v>0</v>
      </c>
      <c r="F23" s="86">
        <v>0.8</v>
      </c>
      <c r="G23" s="71"/>
      <c r="H23" s="87" t="str">
        <f t="shared" si="0"/>
        <v>SP2</v>
      </c>
      <c r="I23" s="85">
        <v>1</v>
      </c>
      <c r="J23" s="85">
        <v>1</v>
      </c>
      <c r="K23" s="85">
        <v>0</v>
      </c>
      <c r="L23" s="85">
        <v>0</v>
      </c>
      <c r="M23" s="86">
        <v>1.5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36" x14ac:dyDescent="0.35">
      <c r="A24" s="83" t="s">
        <v>34</v>
      </c>
      <c r="B24" s="84">
        <v>0.3</v>
      </c>
      <c r="C24" s="85">
        <v>0.2</v>
      </c>
      <c r="D24" s="85">
        <v>0</v>
      </c>
      <c r="E24" s="85">
        <v>0</v>
      </c>
      <c r="F24" s="86">
        <v>0.9</v>
      </c>
      <c r="G24" s="71"/>
      <c r="H24" s="87" t="str">
        <f t="shared" si="0"/>
        <v>SP3</v>
      </c>
      <c r="I24" s="85">
        <v>1.2</v>
      </c>
      <c r="J24" s="85">
        <v>1.5</v>
      </c>
      <c r="K24" s="85">
        <v>0</v>
      </c>
      <c r="L24" s="85">
        <v>0</v>
      </c>
      <c r="M24" s="86">
        <v>1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36" ht="16" thickBot="1" x14ac:dyDescent="0.4">
      <c r="A25" s="91" t="s">
        <v>35</v>
      </c>
      <c r="B25" s="92">
        <v>0.6</v>
      </c>
      <c r="C25" s="93">
        <v>0.8</v>
      </c>
      <c r="D25" s="93">
        <v>0</v>
      </c>
      <c r="E25" s="93">
        <v>0</v>
      </c>
      <c r="F25" s="94">
        <v>1.5</v>
      </c>
      <c r="G25" s="71"/>
      <c r="H25" s="95" t="str">
        <f t="shared" si="0"/>
        <v>SP4</v>
      </c>
      <c r="I25" s="93">
        <v>2</v>
      </c>
      <c r="J25" s="93">
        <v>2</v>
      </c>
      <c r="K25" s="93">
        <v>0</v>
      </c>
      <c r="L25" s="93">
        <v>0</v>
      </c>
      <c r="M25" s="94">
        <v>2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36" x14ac:dyDescent="0.35">
      <c r="G26" s="7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16" thickBot="1" x14ac:dyDescent="0.4">
      <c r="A27" s="96"/>
      <c r="B27" s="85"/>
      <c r="C27" s="85"/>
      <c r="D27" s="85"/>
      <c r="E27" s="85"/>
      <c r="F27" s="85"/>
      <c r="G27" s="71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ht="30.5" x14ac:dyDescent="0.35">
      <c r="A28" s="97" t="s">
        <v>38</v>
      </c>
      <c r="B28" s="98" t="s">
        <v>24</v>
      </c>
      <c r="C28" s="99" t="s">
        <v>25</v>
      </c>
      <c r="D28" s="99" t="s">
        <v>26</v>
      </c>
      <c r="E28" s="99" t="s">
        <v>27</v>
      </c>
      <c r="F28" s="100" t="s">
        <v>28</v>
      </c>
      <c r="G28" s="71"/>
      <c r="H28" s="101" t="s">
        <v>72</v>
      </c>
      <c r="I28" s="102">
        <v>220</v>
      </c>
      <c r="J28" s="103" t="s">
        <v>73</v>
      </c>
      <c r="K28" s="49"/>
      <c r="L28" s="49"/>
      <c r="M28" s="49"/>
      <c r="N28" s="49"/>
      <c r="O28" s="104"/>
      <c r="P28" s="104"/>
      <c r="Q28" s="104"/>
      <c r="R28" s="104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ht="30.5" x14ac:dyDescent="0.35">
      <c r="A29" s="127" t="s">
        <v>39</v>
      </c>
      <c r="B29" s="126">
        <v>3.5000000000000003E-2</v>
      </c>
      <c r="C29" s="126">
        <v>3.5000000000000003E-2</v>
      </c>
      <c r="D29" s="126">
        <v>3.5000000000000003E-2</v>
      </c>
      <c r="E29" s="126">
        <v>3.5000000000000003E-2</v>
      </c>
      <c r="F29" s="128">
        <v>3.5000000000000003E-2</v>
      </c>
      <c r="G29" s="71"/>
      <c r="H29" s="105" t="s">
        <v>74</v>
      </c>
      <c r="I29" s="106">
        <v>7.5</v>
      </c>
      <c r="J29" s="65" t="s">
        <v>75</v>
      </c>
      <c r="K29" s="107"/>
      <c r="L29" s="49"/>
      <c r="M29" s="49"/>
      <c r="N29" s="49"/>
      <c r="O29" s="104"/>
      <c r="P29" s="104"/>
      <c r="Q29" s="104"/>
      <c r="R29" s="104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ht="33.75" customHeight="1" x14ac:dyDescent="0.35">
      <c r="A30" s="108" t="s">
        <v>40</v>
      </c>
      <c r="B30" s="109">
        <v>0.05</v>
      </c>
      <c r="C30" s="109">
        <v>0.05</v>
      </c>
      <c r="D30" s="109">
        <v>0.05</v>
      </c>
      <c r="E30" s="109">
        <v>0.05</v>
      </c>
      <c r="F30" s="110">
        <v>0.05</v>
      </c>
      <c r="G30" s="71"/>
      <c r="H30" s="105" t="s">
        <v>76</v>
      </c>
      <c r="I30" s="64">
        <v>2</v>
      </c>
      <c r="J30" s="65" t="s">
        <v>77</v>
      </c>
      <c r="K30" s="88"/>
      <c r="L30" s="49"/>
      <c r="M30" s="49"/>
      <c r="N30" s="49"/>
      <c r="O30" s="104"/>
      <c r="P30" s="104"/>
      <c r="Q30" s="104"/>
      <c r="R30" s="104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ht="31" x14ac:dyDescent="0.35">
      <c r="A31" s="111" t="s">
        <v>41</v>
      </c>
      <c r="B31" s="109">
        <v>0.95</v>
      </c>
      <c r="C31" s="109">
        <v>0.95</v>
      </c>
      <c r="D31" s="109">
        <v>0.95</v>
      </c>
      <c r="E31" s="109">
        <v>0.95</v>
      </c>
      <c r="F31" s="110">
        <v>0.95</v>
      </c>
      <c r="G31" s="71"/>
      <c r="H31" s="105" t="s">
        <v>97</v>
      </c>
      <c r="I31" s="139">
        <v>30</v>
      </c>
      <c r="J31" s="142" t="s">
        <v>98</v>
      </c>
      <c r="K31" s="107" t="s">
        <v>115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x14ac:dyDescent="0.35">
      <c r="A32" s="111" t="s">
        <v>36</v>
      </c>
      <c r="B32" s="109">
        <v>0.96</v>
      </c>
      <c r="C32" s="109">
        <v>0.96</v>
      </c>
      <c r="D32" s="109">
        <v>0.96</v>
      </c>
      <c r="E32" s="109">
        <v>0.96</v>
      </c>
      <c r="F32" s="110">
        <v>0.96</v>
      </c>
      <c r="G32" s="71"/>
      <c r="H32" s="105" t="s">
        <v>100</v>
      </c>
      <c r="I32" s="139">
        <v>13.5</v>
      </c>
      <c r="J32" s="142" t="s">
        <v>101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5" customHeight="1" thickBot="1" x14ac:dyDescent="0.4">
      <c r="A33" s="111" t="s">
        <v>37</v>
      </c>
      <c r="B33" s="109">
        <v>0.85</v>
      </c>
      <c r="C33" s="109">
        <v>0.85</v>
      </c>
      <c r="D33" s="109">
        <v>0.85</v>
      </c>
      <c r="E33" s="109">
        <v>0.85</v>
      </c>
      <c r="F33" s="110">
        <v>0.85</v>
      </c>
      <c r="G33" s="71"/>
      <c r="H33" s="131" t="s">
        <v>102</v>
      </c>
      <c r="I33" s="144">
        <v>14.5</v>
      </c>
      <c r="J33" s="143" t="s">
        <v>101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15" customHeight="1" thickBot="1" x14ac:dyDescent="0.4">
      <c r="A34" s="129" t="s">
        <v>105</v>
      </c>
      <c r="B34" s="113">
        <v>0.98</v>
      </c>
      <c r="C34" s="113">
        <v>0.98</v>
      </c>
      <c r="D34" s="113">
        <v>0.98</v>
      </c>
      <c r="E34" s="113">
        <v>0.98</v>
      </c>
      <c r="F34" s="130">
        <v>0.98</v>
      </c>
      <c r="G34" s="71"/>
      <c r="H34" s="11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ht="46.5" customHeight="1" x14ac:dyDescent="0.35">
      <c r="G35" s="71"/>
      <c r="H35" s="376" t="s">
        <v>78</v>
      </c>
      <c r="I35" s="377"/>
      <c r="J35" s="147" t="s">
        <v>79</v>
      </c>
      <c r="K35" s="302" t="s">
        <v>80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x14ac:dyDescent="0.35">
      <c r="A36" s="90"/>
      <c r="B36" s="90"/>
      <c r="C36" s="90"/>
      <c r="D36" s="90"/>
      <c r="E36" s="90"/>
      <c r="F36" s="90"/>
      <c r="G36" s="71"/>
      <c r="H36" s="63" t="s">
        <v>81</v>
      </c>
      <c r="I36" s="64" t="s">
        <v>24</v>
      </c>
      <c r="J36" s="64">
        <v>2</v>
      </c>
      <c r="K36" s="65">
        <v>150000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32.25" customHeight="1" thickBot="1" x14ac:dyDescent="0.4">
      <c r="B37" s="121" t="s">
        <v>43</v>
      </c>
      <c r="C37" s="121" t="s">
        <v>29</v>
      </c>
      <c r="D37" s="121"/>
      <c r="E37" s="49"/>
      <c r="F37" s="71"/>
      <c r="G37" s="71"/>
      <c r="H37" s="303" t="s">
        <v>126</v>
      </c>
      <c r="I37" s="64" t="s">
        <v>25</v>
      </c>
      <c r="J37" s="64">
        <v>5</v>
      </c>
      <c r="K37" s="65">
        <v>300000</v>
      </c>
      <c r="L37" s="104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x14ac:dyDescent="0.35">
      <c r="A38" s="292" t="s">
        <v>42</v>
      </c>
      <c r="B38" s="295" t="s">
        <v>45</v>
      </c>
      <c r="C38" s="295" t="s">
        <v>44</v>
      </c>
      <c r="D38" s="49"/>
      <c r="E38" s="49"/>
      <c r="G38" s="49"/>
      <c r="H38" s="63" t="s">
        <v>82</v>
      </c>
      <c r="I38" s="64" t="s">
        <v>26</v>
      </c>
      <c r="J38" s="64">
        <v>8</v>
      </c>
      <c r="K38" s="65">
        <v>200000</v>
      </c>
      <c r="L38" s="49"/>
      <c r="M38" s="49"/>
      <c r="N38" s="49"/>
      <c r="O38" s="49"/>
      <c r="P38" s="49"/>
      <c r="Q38" s="49"/>
      <c r="R38" s="49"/>
      <c r="S38" s="49"/>
    </row>
    <row r="39" spans="1:24" x14ac:dyDescent="0.35">
      <c r="A39" s="293" t="str">
        <f t="shared" ref="A39:A56" si="1">A8</f>
        <v>PZ1</v>
      </c>
      <c r="B39" s="296">
        <v>500</v>
      </c>
      <c r="C39" s="298">
        <v>10</v>
      </c>
      <c r="D39" s="49"/>
      <c r="E39" s="49"/>
      <c r="G39" s="49"/>
      <c r="H39" s="63" t="s">
        <v>83</v>
      </c>
      <c r="I39" s="64" t="s">
        <v>27</v>
      </c>
      <c r="J39" s="64">
        <v>2</v>
      </c>
      <c r="K39" s="65">
        <v>250000</v>
      </c>
      <c r="L39" s="49"/>
      <c r="M39" s="49"/>
      <c r="N39" s="49"/>
      <c r="O39" s="49"/>
      <c r="P39" s="49"/>
      <c r="Q39" s="49"/>
      <c r="R39" s="49"/>
      <c r="S39" s="49"/>
    </row>
    <row r="40" spans="1:24" ht="16" thickBot="1" x14ac:dyDescent="0.4">
      <c r="A40" s="293" t="str">
        <f t="shared" si="1"/>
        <v>PZ2</v>
      </c>
      <c r="B40" s="296">
        <v>500</v>
      </c>
      <c r="C40" s="298">
        <v>12</v>
      </c>
      <c r="D40" s="49"/>
      <c r="E40" s="49"/>
      <c r="G40" s="49"/>
      <c r="H40" s="66" t="s">
        <v>84</v>
      </c>
      <c r="I40" s="67" t="s">
        <v>28</v>
      </c>
      <c r="J40" s="67">
        <v>12</v>
      </c>
      <c r="K40" s="68">
        <v>250000</v>
      </c>
      <c r="L40" s="49"/>
      <c r="M40" s="49"/>
      <c r="N40" s="49"/>
      <c r="O40" s="49"/>
      <c r="P40" s="49"/>
      <c r="Q40" s="49"/>
      <c r="R40" s="49"/>
      <c r="S40" s="49"/>
    </row>
    <row r="41" spans="1:24" x14ac:dyDescent="0.35">
      <c r="A41" s="293" t="str">
        <f t="shared" si="1"/>
        <v>PZ3</v>
      </c>
      <c r="B41" s="296">
        <v>500</v>
      </c>
      <c r="C41" s="298">
        <v>18</v>
      </c>
      <c r="D41" s="49"/>
      <c r="E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24" x14ac:dyDescent="0.35">
      <c r="A42" s="293" t="str">
        <f t="shared" si="1"/>
        <v>PZ4</v>
      </c>
      <c r="B42" s="296">
        <v>500</v>
      </c>
      <c r="C42" s="298">
        <v>9</v>
      </c>
      <c r="D42" s="49"/>
      <c r="E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24" x14ac:dyDescent="0.35">
      <c r="A43" s="293" t="str">
        <f t="shared" si="1"/>
        <v>DI1</v>
      </c>
      <c r="B43" s="296">
        <v>2500</v>
      </c>
      <c r="C43" s="298">
        <v>40</v>
      </c>
      <c r="D43" s="49"/>
      <c r="E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24" x14ac:dyDescent="0.35">
      <c r="A44" s="293" t="str">
        <f t="shared" si="1"/>
        <v>DI2</v>
      </c>
      <c r="B44" s="296">
        <v>3400</v>
      </c>
      <c r="C44" s="298">
        <v>40</v>
      </c>
      <c r="D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24" x14ac:dyDescent="0.35">
      <c r="A45" s="293" t="str">
        <f t="shared" si="1"/>
        <v>DI3</v>
      </c>
      <c r="B45" s="296">
        <v>6250</v>
      </c>
      <c r="C45" s="298">
        <v>30</v>
      </c>
      <c r="D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24" x14ac:dyDescent="0.35">
      <c r="A46" s="293" t="str">
        <f t="shared" si="1"/>
        <v>DI4</v>
      </c>
      <c r="B46" s="296">
        <v>5000</v>
      </c>
      <c r="C46" s="298">
        <v>25</v>
      </c>
      <c r="D46" s="49"/>
      <c r="G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24" x14ac:dyDescent="0.35">
      <c r="A47" s="293" t="str">
        <f t="shared" si="1"/>
        <v>DI5</v>
      </c>
      <c r="B47" s="296">
        <v>500</v>
      </c>
      <c r="C47" s="298">
        <v>15</v>
      </c>
      <c r="D47" s="49"/>
      <c r="G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24" x14ac:dyDescent="0.35">
      <c r="A48" s="293" t="str">
        <f t="shared" si="1"/>
        <v>RO1</v>
      </c>
      <c r="B48" s="296">
        <v>8000</v>
      </c>
      <c r="C48" s="298">
        <v>30</v>
      </c>
      <c r="D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36" x14ac:dyDescent="0.35">
      <c r="A49" s="293" t="str">
        <f t="shared" si="1"/>
        <v>RO2</v>
      </c>
      <c r="B49" s="296">
        <v>500</v>
      </c>
      <c r="C49" s="298">
        <v>5</v>
      </c>
      <c r="D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36" x14ac:dyDescent="0.35">
      <c r="A50" s="293" t="str">
        <f t="shared" si="1"/>
        <v>RO3</v>
      </c>
      <c r="B50" s="296">
        <v>6500</v>
      </c>
      <c r="C50" s="298">
        <v>20</v>
      </c>
      <c r="D50" s="49"/>
      <c r="E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36" x14ac:dyDescent="0.35">
      <c r="A51" s="293" t="str">
        <f t="shared" si="1"/>
        <v>RO4</v>
      </c>
      <c r="B51" s="296">
        <v>500</v>
      </c>
      <c r="C51" s="298">
        <v>10</v>
      </c>
      <c r="D51" s="49"/>
      <c r="E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36" x14ac:dyDescent="0.35">
      <c r="A52" s="293" t="str">
        <f t="shared" si="1"/>
        <v>RO5</v>
      </c>
      <c r="B52" s="296">
        <v>10000</v>
      </c>
      <c r="C52" s="298">
        <v>50</v>
      </c>
      <c r="D52" s="49"/>
      <c r="E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36" x14ac:dyDescent="0.35">
      <c r="A53" s="293" t="str">
        <f t="shared" si="1"/>
        <v>SP1</v>
      </c>
      <c r="B53" s="296">
        <v>5000</v>
      </c>
      <c r="C53" s="298">
        <v>25</v>
      </c>
      <c r="D53" s="49"/>
      <c r="E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36" x14ac:dyDescent="0.35">
      <c r="A54" s="293" t="str">
        <f t="shared" si="1"/>
        <v>SP2</v>
      </c>
      <c r="B54" s="296">
        <v>7000</v>
      </c>
      <c r="C54" s="298">
        <v>35</v>
      </c>
      <c r="D54" s="49"/>
      <c r="E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36" x14ac:dyDescent="0.35">
      <c r="A55" s="293" t="str">
        <f t="shared" si="1"/>
        <v>SP3</v>
      </c>
      <c r="B55" s="296">
        <v>2600</v>
      </c>
      <c r="C55" s="298">
        <v>13</v>
      </c>
      <c r="D55" s="49"/>
      <c r="E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36" ht="16" thickBot="1" x14ac:dyDescent="0.4">
      <c r="A56" s="294" t="str">
        <f t="shared" si="1"/>
        <v>SP4</v>
      </c>
      <c r="B56" s="297">
        <v>2000</v>
      </c>
      <c r="C56" s="299">
        <v>20</v>
      </c>
      <c r="D56" s="49"/>
      <c r="E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36" ht="16" thickBot="1" x14ac:dyDescent="0.4">
      <c r="A57" s="291"/>
      <c r="B57" s="114"/>
      <c r="C57" s="115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36" ht="16" thickBot="1" x14ac:dyDescent="0.4">
      <c r="A58" s="301" t="s">
        <v>31</v>
      </c>
      <c r="B58" s="300">
        <f>SUM(B39:B56)</f>
        <v>61750</v>
      </c>
      <c r="C58" s="300">
        <f>SUM(C39:C56)</f>
        <v>407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36" ht="16" thickBot="1" x14ac:dyDescent="0.4">
      <c r="A59" s="116"/>
      <c r="B59" s="62"/>
      <c r="C59" s="49"/>
      <c r="D59" s="49"/>
      <c r="E59" s="49"/>
      <c r="F59" s="71"/>
      <c r="G59" s="71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36" ht="16" thickTop="1" x14ac:dyDescent="0.35">
      <c r="A60" s="117"/>
      <c r="B60" s="118"/>
      <c r="C60" s="118"/>
      <c r="D60" s="118"/>
      <c r="E60" s="118"/>
      <c r="F60" s="118"/>
      <c r="G60" s="118"/>
      <c r="H60" s="118"/>
      <c r="I60" s="11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36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36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36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x14ac:dyDescent="0.35">
      <c r="A66" s="120"/>
      <c r="B66" s="120"/>
      <c r="C66" s="120"/>
      <c r="D66" s="120"/>
      <c r="E66" s="120"/>
      <c r="F66" s="120"/>
      <c r="G66" s="120"/>
      <c r="H66" s="12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1:24" x14ac:dyDescent="0.35">
      <c r="A67" s="120"/>
      <c r="B67" s="120"/>
      <c r="C67" s="120"/>
      <c r="D67" s="120"/>
      <c r="E67" s="120"/>
      <c r="F67" s="120"/>
      <c r="G67" s="120"/>
      <c r="H67" s="12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x14ac:dyDescent="0.35"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1:24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1:24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1:24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1:24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1:24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1:24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1:24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1:24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1:24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1:24" x14ac:dyDescent="0.35">
      <c r="A82" s="49"/>
      <c r="B82" s="49"/>
      <c r="C82" s="49"/>
      <c r="D82" s="49"/>
      <c r="E82" s="49"/>
      <c r="F82" s="49"/>
      <c r="G82" s="49"/>
      <c r="H82" s="49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:24" x14ac:dyDescent="0.35">
      <c r="A83" s="49"/>
      <c r="B83" s="49"/>
      <c r="C83" s="49"/>
      <c r="D83" s="49"/>
      <c r="E83" s="49"/>
      <c r="F83" s="49"/>
      <c r="G83" s="49"/>
      <c r="H83" s="49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x14ac:dyDescent="0.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1:24" x14ac:dyDescent="0.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1:24" x14ac:dyDescent="0.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 x14ac:dyDescent="0.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x14ac:dyDescent="0.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1:24" x14ac:dyDescent="0.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1:24" x14ac:dyDescent="0.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1:24" x14ac:dyDescent="0.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1:24" x14ac:dyDescent="0.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1:24" x14ac:dyDescent="0.35">
      <c r="A93" s="49"/>
      <c r="B93" s="49"/>
      <c r="C93" s="49"/>
      <c r="D93" s="49"/>
      <c r="E93" s="49"/>
      <c r="F93" s="49"/>
      <c r="G93" s="49"/>
      <c r="H93" s="49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:24" x14ac:dyDescent="0.35">
      <c r="A94" s="49"/>
      <c r="B94" s="49"/>
      <c r="C94" s="49"/>
      <c r="D94" s="49"/>
      <c r="E94" s="49"/>
      <c r="F94" s="49"/>
      <c r="G94" s="49"/>
      <c r="H94" s="49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:24" x14ac:dyDescent="0.35">
      <c r="A95" s="49"/>
      <c r="B95" s="49"/>
      <c r="C95" s="49"/>
      <c r="D95" s="49"/>
      <c r="E95" s="49"/>
      <c r="F95" s="49"/>
      <c r="G95" s="49"/>
      <c r="H95" s="49"/>
    </row>
    <row r="96" spans="1:24" x14ac:dyDescent="0.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1:24" x14ac:dyDescent="0.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1:24" x14ac:dyDescent="0.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1:24" x14ac:dyDescent="0.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1:24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1:24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  <row r="102" spans="1:24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</row>
    <row r="103" spans="1:24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4" x14ac:dyDescent="0.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4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</row>
    <row r="106" spans="1:24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</row>
    <row r="107" spans="1:24" x14ac:dyDescent="0.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</row>
    <row r="108" spans="1:24" x14ac:dyDescent="0.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</row>
    <row r="109" spans="1:24" x14ac:dyDescent="0.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</row>
    <row r="110" spans="1:24" x14ac:dyDescent="0.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</row>
    <row r="111" spans="1:24" x14ac:dyDescent="0.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</row>
    <row r="112" spans="1:24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</row>
    <row r="113" spans="1:24" x14ac:dyDescent="0.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</row>
    <row r="114" spans="1:24" x14ac:dyDescent="0.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</row>
    <row r="115" spans="1:24" x14ac:dyDescent="0.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</row>
    <row r="116" spans="1:24" x14ac:dyDescent="0.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</row>
    <row r="117" spans="1:24" x14ac:dyDescent="0.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</row>
    <row r="118" spans="1:24" x14ac:dyDescent="0.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</row>
    <row r="119" spans="1:24" x14ac:dyDescent="0.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</row>
    <row r="120" spans="1:24" x14ac:dyDescent="0.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x14ac:dyDescent="0.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</row>
    <row r="122" spans="1:24" x14ac:dyDescent="0.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</row>
    <row r="123" spans="1:24" x14ac:dyDescent="0.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</row>
    <row r="124" spans="1:24" x14ac:dyDescent="0.35"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5" spans="1:24" x14ac:dyDescent="0.35"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x14ac:dyDescent="0.35"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</row>
    <row r="127" spans="1:24" x14ac:dyDescent="0.35"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x14ac:dyDescent="0.35"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</row>
    <row r="129" spans="9:24" x14ac:dyDescent="0.35"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</row>
    <row r="130" spans="9:24" x14ac:dyDescent="0.35"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</row>
    <row r="131" spans="9:24" x14ac:dyDescent="0.35"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</row>
    <row r="132" spans="9:24" x14ac:dyDescent="0.35"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</row>
    <row r="133" spans="9:24" x14ac:dyDescent="0.35"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</row>
    <row r="134" spans="9:24" x14ac:dyDescent="0.35"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</row>
    <row r="135" spans="9:24" x14ac:dyDescent="0.35"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</row>
    <row r="136" spans="9:24" x14ac:dyDescent="0.35"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</row>
    <row r="137" spans="9:24" x14ac:dyDescent="0.35"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</row>
    <row r="138" spans="9:24" x14ac:dyDescent="0.35"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</row>
    <row r="139" spans="9:24" x14ac:dyDescent="0.35"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</row>
    <row r="140" spans="9:24" x14ac:dyDescent="0.35"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</row>
    <row r="141" spans="9:24" x14ac:dyDescent="0.35"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</row>
    <row r="142" spans="9:24" x14ac:dyDescent="0.35"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</row>
    <row r="143" spans="9:24" x14ac:dyDescent="0.35"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</row>
    <row r="144" spans="9:24" x14ac:dyDescent="0.35"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5" spans="9:24" x14ac:dyDescent="0.35"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</row>
    <row r="146" spans="9:24" x14ac:dyDescent="0.35"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9:24" x14ac:dyDescent="0.35"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9:24" x14ac:dyDescent="0.35"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</row>
    <row r="149" spans="9:24" x14ac:dyDescent="0.35"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9:24" x14ac:dyDescent="0.35"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A25" workbookViewId="0">
      <selection activeCell="P45" sqref="P45"/>
    </sheetView>
  </sheetViews>
  <sheetFormatPr defaultColWidth="8.7265625" defaultRowHeight="14.5" x14ac:dyDescent="0.35"/>
  <cols>
    <col min="2" max="2" width="8.26953125" customWidth="1"/>
    <col min="3" max="3" width="10.54296875" customWidth="1"/>
    <col min="7" max="7" width="11.26953125" customWidth="1"/>
    <col min="14" max="15" width="11.26953125" bestFit="1" customWidth="1"/>
    <col min="16" max="16" width="8.81640625" bestFit="1" customWidth="1"/>
    <col min="17" max="17" width="11.26953125" bestFit="1" customWidth="1"/>
    <col min="18" max="18" width="11" customWidth="1"/>
    <col min="19" max="19" width="9.7265625" bestFit="1" customWidth="1"/>
    <col min="20" max="20" width="12.81640625" customWidth="1"/>
    <col min="23" max="26" width="11.26953125" bestFit="1" customWidth="1"/>
    <col min="32" max="32" width="11.453125" bestFit="1" customWidth="1"/>
    <col min="33" max="33" width="10.26953125" bestFit="1" customWidth="1"/>
    <col min="34" max="34" width="10.54296875" customWidth="1"/>
    <col min="35" max="35" width="10.26953125" bestFit="1" customWidth="1"/>
    <col min="36" max="36" width="8.81640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34" ht="25.5" thickBot="1" x14ac:dyDescent="0.55000000000000004">
      <c r="A1" s="379" t="s">
        <v>106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1"/>
    </row>
    <row r="2" spans="1:34" ht="15.5" x14ac:dyDescent="0.35">
      <c r="A2" s="378" t="s">
        <v>46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34" ht="15" thickBot="1" x14ac:dyDescent="0.4"/>
    <row r="4" spans="1:34" ht="15" thickBot="1" x14ac:dyDescent="0.4">
      <c r="A4" s="153"/>
      <c r="B4" s="153"/>
      <c r="C4" s="153"/>
      <c r="D4" s="391" t="s">
        <v>107</v>
      </c>
      <c r="E4" s="392"/>
      <c r="F4" s="392"/>
      <c r="G4" s="392"/>
      <c r="H4" s="392"/>
      <c r="I4" s="393"/>
      <c r="J4" s="153"/>
      <c r="K4" s="153"/>
      <c r="L4" s="382" t="s">
        <v>108</v>
      </c>
      <c r="M4" s="383"/>
      <c r="N4" s="383"/>
      <c r="O4" s="383"/>
      <c r="P4" s="383"/>
      <c r="Q4" s="384"/>
      <c r="R4" s="153"/>
      <c r="S4" s="153"/>
      <c r="T4" s="382" t="s">
        <v>109</v>
      </c>
      <c r="U4" s="383"/>
      <c r="V4" s="383"/>
      <c r="W4" s="383"/>
      <c r="X4" s="383"/>
      <c r="Y4" s="384"/>
      <c r="Z4" s="153"/>
      <c r="AA4" s="153"/>
      <c r="AB4" s="382" t="s">
        <v>108</v>
      </c>
      <c r="AC4" s="383"/>
      <c r="AD4" s="383"/>
      <c r="AE4" s="383"/>
      <c r="AF4" s="383"/>
      <c r="AG4" s="384"/>
      <c r="AH4" s="153"/>
    </row>
    <row r="5" spans="1:34" x14ac:dyDescent="0.35">
      <c r="A5" s="153"/>
      <c r="B5" s="153"/>
      <c r="C5" s="153"/>
      <c r="D5" s="154" t="s">
        <v>47</v>
      </c>
      <c r="E5" s="155">
        <v>1</v>
      </c>
      <c r="F5" s="155">
        <v>2</v>
      </c>
      <c r="G5" s="155">
        <v>3</v>
      </c>
      <c r="H5" s="155">
        <v>4</v>
      </c>
      <c r="I5" s="156">
        <v>5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  <c r="U5" s="155">
        <v>1</v>
      </c>
      <c r="V5" s="155">
        <v>2</v>
      </c>
      <c r="W5" s="155">
        <v>3</v>
      </c>
      <c r="X5" s="155">
        <v>4</v>
      </c>
      <c r="Y5" s="156">
        <v>5</v>
      </c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ht="15" thickBot="1" x14ac:dyDescent="0.4">
      <c r="A6" s="153"/>
      <c r="B6" s="157"/>
      <c r="C6" s="153"/>
      <c r="D6" s="158" t="s">
        <v>48</v>
      </c>
      <c r="E6" s="159">
        <f>2^(5-E5)</f>
        <v>16</v>
      </c>
      <c r="F6" s="159">
        <f>2^(5-F5)</f>
        <v>8</v>
      </c>
      <c r="G6" s="159">
        <f>2^(5-G5)</f>
        <v>4</v>
      </c>
      <c r="H6" s="159">
        <f>2^(5-H5)</f>
        <v>2</v>
      </c>
      <c r="I6" s="160">
        <f>2^(5-I5)</f>
        <v>1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8"/>
      <c r="U6" s="159">
        <f>2^(5-U5)</f>
        <v>16</v>
      </c>
      <c r="V6" s="159">
        <f>2^(5-V5)</f>
        <v>8</v>
      </c>
      <c r="W6" s="159">
        <f>2^(5-W5)</f>
        <v>4</v>
      </c>
      <c r="X6" s="159">
        <f>2^(5-X5)</f>
        <v>2</v>
      </c>
      <c r="Y6" s="160">
        <f>2^(5-Y5)</f>
        <v>1</v>
      </c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4" ht="15" thickBot="1" x14ac:dyDescent="0.4">
      <c r="B7" s="312" t="s">
        <v>50</v>
      </c>
      <c r="C7" s="156" t="s">
        <v>49</v>
      </c>
      <c r="D7" s="308"/>
      <c r="E7" s="161" t="s">
        <v>5</v>
      </c>
      <c r="F7" s="161" t="s">
        <v>6</v>
      </c>
      <c r="G7" s="161" t="s">
        <v>7</v>
      </c>
      <c r="H7" s="161" t="s">
        <v>8</v>
      </c>
      <c r="I7" s="162" t="s">
        <v>9</v>
      </c>
      <c r="J7" s="190" t="s">
        <v>51</v>
      </c>
      <c r="K7" s="153"/>
      <c r="L7" s="163"/>
      <c r="M7" s="164" t="s">
        <v>5</v>
      </c>
      <c r="N7" s="165" t="s">
        <v>6</v>
      </c>
      <c r="O7" s="165" t="s">
        <v>7</v>
      </c>
      <c r="P7" s="165" t="s">
        <v>8</v>
      </c>
      <c r="Q7" s="166" t="s">
        <v>9</v>
      </c>
      <c r="R7" s="193" t="s">
        <v>52</v>
      </c>
      <c r="S7" s="153"/>
      <c r="T7" s="167"/>
      <c r="U7" s="164" t="s">
        <v>5</v>
      </c>
      <c r="V7" s="165" t="s">
        <v>6</v>
      </c>
      <c r="W7" s="165" t="s">
        <v>8</v>
      </c>
      <c r="X7" s="165" t="s">
        <v>9</v>
      </c>
      <c r="Y7" s="166" t="s">
        <v>7</v>
      </c>
      <c r="Z7" s="190" t="s">
        <v>51</v>
      </c>
      <c r="AA7" s="153"/>
      <c r="AB7" s="167"/>
      <c r="AC7" s="168" t="s">
        <v>5</v>
      </c>
      <c r="AD7" s="169" t="s">
        <v>6</v>
      </c>
      <c r="AE7" s="169" t="s">
        <v>8</v>
      </c>
      <c r="AF7" s="169" t="s">
        <v>9</v>
      </c>
      <c r="AG7" s="170" t="s">
        <v>7</v>
      </c>
      <c r="AH7" s="193" t="s">
        <v>52</v>
      </c>
    </row>
    <row r="8" spans="1:34" x14ac:dyDescent="0.35">
      <c r="B8" s="313">
        <v>1</v>
      </c>
      <c r="C8" s="181">
        <f t="shared" ref="C8:C25" si="0">2^(18-B8)</f>
        <v>131072</v>
      </c>
      <c r="D8" s="309" t="s">
        <v>10</v>
      </c>
      <c r="E8" s="11">
        <v>1</v>
      </c>
      <c r="F8" s="12">
        <v>1</v>
      </c>
      <c r="G8" s="12">
        <v>0</v>
      </c>
      <c r="H8" s="12">
        <v>0</v>
      </c>
      <c r="I8" s="13">
        <v>0</v>
      </c>
      <c r="J8" s="191">
        <f>(E8*$E$6)+(F8*$F$6)+(G8*$G$6)+(H8*$H$6)+(I8*$I$6)</f>
        <v>24</v>
      </c>
      <c r="K8" s="171">
        <f t="shared" ref="K8:K25" si="1">C8</f>
        <v>131072</v>
      </c>
      <c r="L8" s="167" t="s">
        <v>14</v>
      </c>
      <c r="M8" s="172">
        <v>1</v>
      </c>
      <c r="N8" s="172">
        <v>1</v>
      </c>
      <c r="O8" s="172">
        <v>0</v>
      </c>
      <c r="P8" s="173">
        <v>1</v>
      </c>
      <c r="Q8" s="174">
        <v>1</v>
      </c>
      <c r="R8" s="194">
        <f>(M8*$E$6)+(N8*$F$6)+(O8*$G$6)+(P8*$H$6)+(Q8*$I$6)</f>
        <v>27</v>
      </c>
      <c r="S8" s="175"/>
      <c r="T8" s="167" t="s">
        <v>14</v>
      </c>
      <c r="U8" s="172">
        <v>1</v>
      </c>
      <c r="V8" s="172">
        <v>1</v>
      </c>
      <c r="W8" s="173">
        <v>1</v>
      </c>
      <c r="X8" s="172">
        <v>1</v>
      </c>
      <c r="Y8" s="174">
        <v>0</v>
      </c>
      <c r="Z8" s="191">
        <f>SUMPRODUCT(U8:Y8,$U$6:$Y$6)</f>
        <v>30</v>
      </c>
      <c r="AA8" s="156">
        <f>K8</f>
        <v>131072</v>
      </c>
      <c r="AB8" s="167" t="s">
        <v>14</v>
      </c>
      <c r="AC8" s="172">
        <v>1</v>
      </c>
      <c r="AD8" s="172">
        <v>1</v>
      </c>
      <c r="AE8" s="173">
        <v>1</v>
      </c>
      <c r="AF8" s="172">
        <v>1</v>
      </c>
      <c r="AG8" s="174">
        <v>0</v>
      </c>
      <c r="AH8" s="194">
        <f>SUMPRODUCT(AC8:AG8,$U$6:$Y$6)</f>
        <v>30</v>
      </c>
    </row>
    <row r="9" spans="1:34" x14ac:dyDescent="0.35">
      <c r="B9" s="313">
        <f t="shared" ref="B9:B25" si="2">B8+1</f>
        <v>2</v>
      </c>
      <c r="C9" s="181">
        <f t="shared" si="0"/>
        <v>65536</v>
      </c>
      <c r="D9" s="310" t="s">
        <v>11</v>
      </c>
      <c r="E9" s="14">
        <v>1</v>
      </c>
      <c r="F9" s="15">
        <v>0</v>
      </c>
      <c r="G9" s="15">
        <v>1</v>
      </c>
      <c r="H9" s="15">
        <v>1</v>
      </c>
      <c r="I9" s="16">
        <v>0</v>
      </c>
      <c r="J9" s="191">
        <f>(E9*$E$6)+(F9*$F$6)+(G9*$G$6)+(H9*$H$6)+(I9*$I$6)</f>
        <v>22</v>
      </c>
      <c r="K9" s="176">
        <f t="shared" si="1"/>
        <v>65536</v>
      </c>
      <c r="L9" s="177" t="s">
        <v>15</v>
      </c>
      <c r="M9" s="178">
        <v>1</v>
      </c>
      <c r="N9" s="178">
        <v>1</v>
      </c>
      <c r="O9" s="178">
        <v>0</v>
      </c>
      <c r="P9" s="179">
        <v>1</v>
      </c>
      <c r="Q9" s="180">
        <v>1</v>
      </c>
      <c r="R9" s="194">
        <f>(M9*$E$6)+(N9*$F$6)+(O9*$G$6)+(P9*$H$6)+(Q9*$I$6)</f>
        <v>27</v>
      </c>
      <c r="S9" s="175"/>
      <c r="T9" s="177" t="s">
        <v>15</v>
      </c>
      <c r="U9" s="178">
        <v>1</v>
      </c>
      <c r="V9" s="178">
        <v>1</v>
      </c>
      <c r="W9" s="179">
        <v>1</v>
      </c>
      <c r="X9" s="178">
        <v>1</v>
      </c>
      <c r="Y9" s="180">
        <v>0</v>
      </c>
      <c r="Z9" s="191">
        <f>SUMPRODUCT(U9:Y9,$U$6:$Y$6)</f>
        <v>30</v>
      </c>
      <c r="AA9" s="181">
        <f t="shared" ref="AA9:AA24" si="3">K9</f>
        <v>65536</v>
      </c>
      <c r="AB9" s="177" t="s">
        <v>15</v>
      </c>
      <c r="AC9" s="178">
        <v>1</v>
      </c>
      <c r="AD9" s="178">
        <v>1</v>
      </c>
      <c r="AE9" s="179">
        <v>1</v>
      </c>
      <c r="AF9" s="178">
        <v>1</v>
      </c>
      <c r="AG9" s="180">
        <v>0</v>
      </c>
      <c r="AH9" s="194">
        <f t="shared" ref="AH9:AH25" si="4">SUMPRODUCT(AC9:AG9,$U$6:$Y$6)</f>
        <v>30</v>
      </c>
    </row>
    <row r="10" spans="1:34" x14ac:dyDescent="0.35">
      <c r="B10" s="313">
        <f t="shared" si="2"/>
        <v>3</v>
      </c>
      <c r="C10" s="181">
        <f t="shared" si="0"/>
        <v>32768</v>
      </c>
      <c r="D10" s="310" t="s">
        <v>12</v>
      </c>
      <c r="E10" s="14">
        <v>1</v>
      </c>
      <c r="F10" s="15">
        <v>1</v>
      </c>
      <c r="G10" s="15">
        <v>0</v>
      </c>
      <c r="H10" s="15">
        <v>1</v>
      </c>
      <c r="I10" s="16">
        <v>0</v>
      </c>
      <c r="J10" s="191">
        <f>(E10*$E$6)+(F10*$F$6)+(G10*$G$6)+(H10*$H$6)+(I10*$I$6)</f>
        <v>26</v>
      </c>
      <c r="K10" s="176">
        <f t="shared" si="1"/>
        <v>32768</v>
      </c>
      <c r="L10" s="177" t="s">
        <v>12</v>
      </c>
      <c r="M10" s="179">
        <v>1</v>
      </c>
      <c r="N10" s="179">
        <v>1</v>
      </c>
      <c r="O10" s="178">
        <v>0</v>
      </c>
      <c r="P10" s="179">
        <v>1</v>
      </c>
      <c r="Q10" s="180">
        <v>0</v>
      </c>
      <c r="R10" s="194">
        <f t="shared" ref="R10:R14" si="5">(M10*$E$6)+(N10*$F$6)+(O10*$G$6)+(P10*$H$6)+(Q10*$I$6)</f>
        <v>26</v>
      </c>
      <c r="S10" s="175"/>
      <c r="T10" s="177" t="s">
        <v>12</v>
      </c>
      <c r="U10" s="179">
        <v>1</v>
      </c>
      <c r="V10" s="179">
        <v>1</v>
      </c>
      <c r="W10" s="179">
        <v>1</v>
      </c>
      <c r="X10" s="178">
        <v>0</v>
      </c>
      <c r="Y10" s="180">
        <v>0</v>
      </c>
      <c r="Z10" s="191">
        <f>SUMPRODUCT(U10:Y10,$U$6:$Y$6)</f>
        <v>28</v>
      </c>
      <c r="AA10" s="181">
        <f t="shared" si="3"/>
        <v>32768</v>
      </c>
      <c r="AB10" s="177" t="s">
        <v>12</v>
      </c>
      <c r="AC10" s="179">
        <v>1</v>
      </c>
      <c r="AD10" s="179">
        <v>1</v>
      </c>
      <c r="AE10" s="179">
        <v>1</v>
      </c>
      <c r="AF10" s="178">
        <v>0</v>
      </c>
      <c r="AG10" s="180">
        <v>0</v>
      </c>
      <c r="AH10" s="194">
        <f t="shared" si="4"/>
        <v>28</v>
      </c>
    </row>
    <row r="11" spans="1:34" x14ac:dyDescent="0.35">
      <c r="B11" s="313">
        <f t="shared" si="2"/>
        <v>4</v>
      </c>
      <c r="C11" s="181">
        <f t="shared" si="0"/>
        <v>16384</v>
      </c>
      <c r="D11" s="310" t="s">
        <v>13</v>
      </c>
      <c r="E11" s="14">
        <v>1</v>
      </c>
      <c r="F11" s="15">
        <v>0</v>
      </c>
      <c r="G11" s="15">
        <v>1</v>
      </c>
      <c r="H11" s="15">
        <v>1</v>
      </c>
      <c r="I11" s="17">
        <v>0</v>
      </c>
      <c r="J11" s="191">
        <f t="shared" ref="J11:J25" si="6">(E11*$E$6)+(F11*$F$6)+(G11*$G$6)+(H11*$H$6)+(I11*$I$6)</f>
        <v>22</v>
      </c>
      <c r="K11" s="176">
        <f t="shared" si="1"/>
        <v>16384</v>
      </c>
      <c r="L11" s="177" t="s">
        <v>32</v>
      </c>
      <c r="M11" s="178">
        <v>1</v>
      </c>
      <c r="N11" s="178">
        <v>1</v>
      </c>
      <c r="O11" s="178">
        <v>0</v>
      </c>
      <c r="P11" s="178">
        <v>0</v>
      </c>
      <c r="Q11" s="180">
        <v>1</v>
      </c>
      <c r="R11" s="194">
        <f t="shared" si="5"/>
        <v>25</v>
      </c>
      <c r="S11" s="175"/>
      <c r="T11" s="177" t="s">
        <v>32</v>
      </c>
      <c r="U11" s="178">
        <v>1</v>
      </c>
      <c r="V11" s="178">
        <v>1</v>
      </c>
      <c r="W11" s="178">
        <v>0</v>
      </c>
      <c r="X11" s="178">
        <v>1</v>
      </c>
      <c r="Y11" s="180">
        <v>0</v>
      </c>
      <c r="Z11" s="191">
        <f>SUMPRODUCT(U11:Y11,$U$6:$Y$6)</f>
        <v>26</v>
      </c>
      <c r="AA11" s="181">
        <f t="shared" si="3"/>
        <v>16384</v>
      </c>
      <c r="AB11" s="177" t="s">
        <v>32</v>
      </c>
      <c r="AC11" s="178">
        <v>1</v>
      </c>
      <c r="AD11" s="178">
        <v>1</v>
      </c>
      <c r="AE11" s="178">
        <v>0</v>
      </c>
      <c r="AF11" s="178">
        <v>1</v>
      </c>
      <c r="AG11" s="180">
        <v>0</v>
      </c>
      <c r="AH11" s="194">
        <f t="shared" si="4"/>
        <v>26</v>
      </c>
    </row>
    <row r="12" spans="1:34" x14ac:dyDescent="0.35">
      <c r="B12" s="313">
        <f t="shared" si="2"/>
        <v>5</v>
      </c>
      <c r="C12" s="181">
        <f t="shared" si="0"/>
        <v>8192</v>
      </c>
      <c r="D12" s="310" t="s">
        <v>14</v>
      </c>
      <c r="E12" s="14">
        <v>1</v>
      </c>
      <c r="F12" s="15">
        <v>1</v>
      </c>
      <c r="G12" s="15">
        <v>0</v>
      </c>
      <c r="H12" s="15">
        <v>1</v>
      </c>
      <c r="I12" s="16">
        <v>1</v>
      </c>
      <c r="J12" s="191">
        <f t="shared" si="6"/>
        <v>27</v>
      </c>
      <c r="K12" s="176">
        <f t="shared" si="1"/>
        <v>8192</v>
      </c>
      <c r="L12" s="177" t="s">
        <v>33</v>
      </c>
      <c r="M12" s="178">
        <v>1</v>
      </c>
      <c r="N12" s="178">
        <v>1</v>
      </c>
      <c r="O12" s="178">
        <v>0</v>
      </c>
      <c r="P12" s="178">
        <v>0</v>
      </c>
      <c r="Q12" s="180">
        <v>1</v>
      </c>
      <c r="R12" s="194">
        <f t="shared" si="5"/>
        <v>25</v>
      </c>
      <c r="S12" s="175"/>
      <c r="T12" s="177" t="s">
        <v>33</v>
      </c>
      <c r="U12" s="178">
        <v>1</v>
      </c>
      <c r="V12" s="178">
        <v>1</v>
      </c>
      <c r="W12" s="178">
        <v>0</v>
      </c>
      <c r="X12" s="178">
        <v>1</v>
      </c>
      <c r="Y12" s="180">
        <v>0</v>
      </c>
      <c r="Z12" s="191">
        <f>SUMPRODUCT(U12:Y12,$U$6:$Y$6)</f>
        <v>26</v>
      </c>
      <c r="AA12" s="181">
        <f t="shared" si="3"/>
        <v>8192</v>
      </c>
      <c r="AB12" s="177" t="s">
        <v>33</v>
      </c>
      <c r="AC12" s="178">
        <v>1</v>
      </c>
      <c r="AD12" s="178">
        <v>1</v>
      </c>
      <c r="AE12" s="178">
        <v>0</v>
      </c>
      <c r="AF12" s="178">
        <v>1</v>
      </c>
      <c r="AG12" s="180">
        <v>0</v>
      </c>
      <c r="AH12" s="194">
        <f t="shared" si="4"/>
        <v>26</v>
      </c>
    </row>
    <row r="13" spans="1:34" x14ac:dyDescent="0.35">
      <c r="B13" s="313">
        <f t="shared" si="2"/>
        <v>6</v>
      </c>
      <c r="C13" s="181">
        <f t="shared" si="0"/>
        <v>4096</v>
      </c>
      <c r="D13" s="310" t="s">
        <v>15</v>
      </c>
      <c r="E13" s="14">
        <v>1</v>
      </c>
      <c r="F13" s="15">
        <v>1</v>
      </c>
      <c r="G13" s="15">
        <v>0</v>
      </c>
      <c r="H13" s="15">
        <v>1</v>
      </c>
      <c r="I13" s="16">
        <v>1</v>
      </c>
      <c r="J13" s="191">
        <f t="shared" si="6"/>
        <v>27</v>
      </c>
      <c r="K13" s="176">
        <f t="shared" si="1"/>
        <v>4096</v>
      </c>
      <c r="L13" s="177" t="s">
        <v>34</v>
      </c>
      <c r="M13" s="178">
        <v>1</v>
      </c>
      <c r="N13" s="178">
        <v>1</v>
      </c>
      <c r="O13" s="178">
        <v>0</v>
      </c>
      <c r="P13" s="178">
        <v>0</v>
      </c>
      <c r="Q13" s="180">
        <v>1</v>
      </c>
      <c r="R13" s="194">
        <f t="shared" si="5"/>
        <v>25</v>
      </c>
      <c r="S13" s="175"/>
      <c r="T13" s="177" t="s">
        <v>34</v>
      </c>
      <c r="U13" s="178">
        <v>1</v>
      </c>
      <c r="V13" s="178">
        <v>1</v>
      </c>
      <c r="W13" s="178">
        <v>0</v>
      </c>
      <c r="X13" s="178">
        <v>1</v>
      </c>
      <c r="Y13" s="180">
        <v>0</v>
      </c>
      <c r="Z13" s="191">
        <f t="shared" ref="Z13:Z25" si="7">SUMPRODUCT(U13:Y13,$U$6:$Y$6)</f>
        <v>26</v>
      </c>
      <c r="AA13" s="181">
        <f t="shared" si="3"/>
        <v>4096</v>
      </c>
      <c r="AB13" s="177" t="s">
        <v>34</v>
      </c>
      <c r="AC13" s="178">
        <v>1</v>
      </c>
      <c r="AD13" s="178">
        <v>1</v>
      </c>
      <c r="AE13" s="178">
        <v>0</v>
      </c>
      <c r="AF13" s="178">
        <v>1</v>
      </c>
      <c r="AG13" s="180">
        <v>0</v>
      </c>
      <c r="AH13" s="194">
        <f t="shared" si="4"/>
        <v>26</v>
      </c>
    </row>
    <row r="14" spans="1:34" x14ac:dyDescent="0.35">
      <c r="B14" s="313">
        <f t="shared" si="2"/>
        <v>7</v>
      </c>
      <c r="C14" s="181">
        <f t="shared" si="0"/>
        <v>2048</v>
      </c>
      <c r="D14" s="310" t="s">
        <v>16</v>
      </c>
      <c r="E14" s="14">
        <v>1</v>
      </c>
      <c r="F14" s="15">
        <v>0</v>
      </c>
      <c r="G14" s="15">
        <v>0</v>
      </c>
      <c r="H14" s="15">
        <v>1</v>
      </c>
      <c r="I14" s="16">
        <v>1</v>
      </c>
      <c r="J14" s="191">
        <f t="shared" si="6"/>
        <v>19</v>
      </c>
      <c r="K14" s="176">
        <f t="shared" si="1"/>
        <v>2048</v>
      </c>
      <c r="L14" s="177" t="s">
        <v>35</v>
      </c>
      <c r="M14" s="178">
        <v>1</v>
      </c>
      <c r="N14" s="178">
        <v>1</v>
      </c>
      <c r="O14" s="178">
        <v>0</v>
      </c>
      <c r="P14" s="178">
        <v>0</v>
      </c>
      <c r="Q14" s="180">
        <v>1</v>
      </c>
      <c r="R14" s="194">
        <f t="shared" si="5"/>
        <v>25</v>
      </c>
      <c r="S14" s="175"/>
      <c r="T14" s="177" t="s">
        <v>35</v>
      </c>
      <c r="U14" s="178">
        <v>1</v>
      </c>
      <c r="V14" s="178">
        <v>1</v>
      </c>
      <c r="W14" s="178">
        <v>0</v>
      </c>
      <c r="X14" s="178">
        <v>1</v>
      </c>
      <c r="Y14" s="180">
        <v>0</v>
      </c>
      <c r="Z14" s="191">
        <f t="shared" si="7"/>
        <v>26</v>
      </c>
      <c r="AA14" s="181">
        <f t="shared" si="3"/>
        <v>2048</v>
      </c>
      <c r="AB14" s="177" t="s">
        <v>35</v>
      </c>
      <c r="AC14" s="178">
        <v>1</v>
      </c>
      <c r="AD14" s="178">
        <v>1</v>
      </c>
      <c r="AE14" s="178">
        <v>0</v>
      </c>
      <c r="AF14" s="178">
        <v>1</v>
      </c>
      <c r="AG14" s="180">
        <v>0</v>
      </c>
      <c r="AH14" s="194">
        <f t="shared" si="4"/>
        <v>26</v>
      </c>
    </row>
    <row r="15" spans="1:34" x14ac:dyDescent="0.35">
      <c r="B15" s="313">
        <f t="shared" si="2"/>
        <v>8</v>
      </c>
      <c r="C15" s="181">
        <f t="shared" si="0"/>
        <v>1024</v>
      </c>
      <c r="D15" s="310" t="s">
        <v>17</v>
      </c>
      <c r="E15" s="14">
        <v>0</v>
      </c>
      <c r="F15" s="15">
        <v>1</v>
      </c>
      <c r="G15" s="15">
        <v>0</v>
      </c>
      <c r="H15" s="15">
        <v>1</v>
      </c>
      <c r="I15" s="16">
        <v>1</v>
      </c>
      <c r="J15" s="191">
        <f t="shared" si="6"/>
        <v>11</v>
      </c>
      <c r="K15" s="176">
        <f t="shared" si="1"/>
        <v>1024</v>
      </c>
      <c r="L15" s="182" t="s">
        <v>10</v>
      </c>
      <c r="M15" s="179">
        <v>1</v>
      </c>
      <c r="N15" s="179">
        <v>1</v>
      </c>
      <c r="O15" s="178">
        <v>0</v>
      </c>
      <c r="P15" s="178">
        <v>0</v>
      </c>
      <c r="Q15" s="180">
        <v>0</v>
      </c>
      <c r="R15" s="194">
        <f t="shared" ref="R15:R25" si="8">(M15*$E$6)+(N15*$F$6)+(O15*$G$6)+(P15*$H$6)+(Q15*$I$6)</f>
        <v>24</v>
      </c>
      <c r="S15" s="175"/>
      <c r="T15" s="182" t="s">
        <v>10</v>
      </c>
      <c r="U15" s="179">
        <v>1</v>
      </c>
      <c r="V15" s="179">
        <v>1</v>
      </c>
      <c r="W15" s="178">
        <v>0</v>
      </c>
      <c r="X15" s="178">
        <v>0</v>
      </c>
      <c r="Y15" s="180">
        <v>0</v>
      </c>
      <c r="Z15" s="191">
        <f t="shared" si="7"/>
        <v>24</v>
      </c>
      <c r="AA15" s="181">
        <f t="shared" si="3"/>
        <v>1024</v>
      </c>
      <c r="AB15" s="182" t="s">
        <v>10</v>
      </c>
      <c r="AC15" s="179">
        <v>1</v>
      </c>
      <c r="AD15" s="179">
        <v>1</v>
      </c>
      <c r="AE15" s="178">
        <v>0</v>
      </c>
      <c r="AF15" s="178">
        <v>0</v>
      </c>
      <c r="AG15" s="180">
        <v>0</v>
      </c>
      <c r="AH15" s="194">
        <f t="shared" si="4"/>
        <v>24</v>
      </c>
    </row>
    <row r="16" spans="1:34" x14ac:dyDescent="0.35">
      <c r="B16" s="313">
        <f t="shared" si="2"/>
        <v>9</v>
      </c>
      <c r="C16" s="181">
        <f t="shared" si="0"/>
        <v>512</v>
      </c>
      <c r="D16" s="310" t="s">
        <v>18</v>
      </c>
      <c r="E16" s="14">
        <v>1</v>
      </c>
      <c r="F16" s="15">
        <v>0</v>
      </c>
      <c r="G16" s="15">
        <v>0</v>
      </c>
      <c r="H16" s="15">
        <v>1</v>
      </c>
      <c r="I16" s="16">
        <v>0</v>
      </c>
      <c r="J16" s="191">
        <f t="shared" si="6"/>
        <v>18</v>
      </c>
      <c r="K16" s="176">
        <f t="shared" si="1"/>
        <v>512</v>
      </c>
      <c r="L16" s="177" t="s">
        <v>11</v>
      </c>
      <c r="M16" s="179">
        <v>1</v>
      </c>
      <c r="N16" s="178">
        <v>0</v>
      </c>
      <c r="O16" s="179">
        <v>1</v>
      </c>
      <c r="P16" s="179">
        <v>1</v>
      </c>
      <c r="Q16" s="180">
        <v>0</v>
      </c>
      <c r="R16" s="194">
        <f t="shared" si="8"/>
        <v>22</v>
      </c>
      <c r="S16" s="175"/>
      <c r="T16" s="177" t="s">
        <v>11</v>
      </c>
      <c r="U16" s="179">
        <v>1</v>
      </c>
      <c r="V16" s="178">
        <v>0</v>
      </c>
      <c r="W16" s="179">
        <v>1</v>
      </c>
      <c r="X16" s="178">
        <v>0</v>
      </c>
      <c r="Y16" s="183">
        <v>1</v>
      </c>
      <c r="Z16" s="191">
        <f t="shared" si="7"/>
        <v>21</v>
      </c>
      <c r="AA16" s="181">
        <f t="shared" si="3"/>
        <v>512</v>
      </c>
      <c r="AB16" s="177" t="s">
        <v>16</v>
      </c>
      <c r="AC16" s="178">
        <v>1</v>
      </c>
      <c r="AD16" s="178">
        <v>0</v>
      </c>
      <c r="AE16" s="179">
        <v>1</v>
      </c>
      <c r="AF16" s="178">
        <v>1</v>
      </c>
      <c r="AG16" s="180">
        <v>0</v>
      </c>
      <c r="AH16" s="194">
        <f>SUMPRODUCT(AC16:AG16,$U$6:$Y$6)</f>
        <v>22</v>
      </c>
    </row>
    <row r="17" spans="1:34" x14ac:dyDescent="0.35">
      <c r="B17" s="313">
        <f t="shared" si="2"/>
        <v>10</v>
      </c>
      <c r="C17" s="181">
        <f t="shared" si="0"/>
        <v>256</v>
      </c>
      <c r="D17" s="310" t="s">
        <v>19</v>
      </c>
      <c r="E17" s="14">
        <v>0</v>
      </c>
      <c r="F17" s="15">
        <v>0</v>
      </c>
      <c r="G17" s="15">
        <v>1</v>
      </c>
      <c r="H17" s="15">
        <v>0</v>
      </c>
      <c r="I17" s="16">
        <v>1</v>
      </c>
      <c r="J17" s="191">
        <f t="shared" si="6"/>
        <v>5</v>
      </c>
      <c r="K17" s="176">
        <f t="shared" si="1"/>
        <v>256</v>
      </c>
      <c r="L17" s="177" t="s">
        <v>13</v>
      </c>
      <c r="M17" s="179">
        <v>1</v>
      </c>
      <c r="N17" s="178">
        <v>0</v>
      </c>
      <c r="O17" s="179">
        <v>1</v>
      </c>
      <c r="P17" s="179">
        <v>1</v>
      </c>
      <c r="Q17" s="180">
        <v>0</v>
      </c>
      <c r="R17" s="194">
        <f t="shared" si="8"/>
        <v>22</v>
      </c>
      <c r="S17" s="175"/>
      <c r="T17" s="177" t="s">
        <v>13</v>
      </c>
      <c r="U17" s="179">
        <v>1</v>
      </c>
      <c r="V17" s="178">
        <v>0</v>
      </c>
      <c r="W17" s="179">
        <v>1</v>
      </c>
      <c r="X17" s="178">
        <v>0</v>
      </c>
      <c r="Y17" s="183">
        <v>1</v>
      </c>
      <c r="Z17" s="191">
        <f t="shared" si="7"/>
        <v>21</v>
      </c>
      <c r="AA17" s="181">
        <f t="shared" si="3"/>
        <v>256</v>
      </c>
      <c r="AB17" s="177" t="s">
        <v>11</v>
      </c>
      <c r="AC17" s="179">
        <v>1</v>
      </c>
      <c r="AD17" s="178">
        <v>0</v>
      </c>
      <c r="AE17" s="179">
        <v>1</v>
      </c>
      <c r="AF17" s="178">
        <v>0</v>
      </c>
      <c r="AG17" s="183">
        <v>1</v>
      </c>
      <c r="AH17" s="194">
        <f>SUMPRODUCT(AC17:AG17,$U$6:$Y$6)</f>
        <v>21</v>
      </c>
    </row>
    <row r="18" spans="1:34" x14ac:dyDescent="0.35">
      <c r="B18" s="313">
        <f t="shared" si="2"/>
        <v>11</v>
      </c>
      <c r="C18" s="181">
        <f t="shared" si="0"/>
        <v>128</v>
      </c>
      <c r="D18" s="310" t="s">
        <v>20</v>
      </c>
      <c r="E18" s="14">
        <v>0</v>
      </c>
      <c r="F18" s="15">
        <v>0</v>
      </c>
      <c r="G18" s="15">
        <v>1</v>
      </c>
      <c r="H18" s="15">
        <v>0</v>
      </c>
      <c r="I18" s="16">
        <v>1</v>
      </c>
      <c r="J18" s="191">
        <f t="shared" si="6"/>
        <v>5</v>
      </c>
      <c r="K18" s="176">
        <f t="shared" si="1"/>
        <v>128</v>
      </c>
      <c r="L18" s="177" t="s">
        <v>16</v>
      </c>
      <c r="M18" s="178">
        <v>1</v>
      </c>
      <c r="N18" s="178">
        <v>0</v>
      </c>
      <c r="O18" s="178">
        <v>0</v>
      </c>
      <c r="P18" s="179">
        <v>1</v>
      </c>
      <c r="Q18" s="180">
        <v>1</v>
      </c>
      <c r="R18" s="194">
        <f t="shared" si="8"/>
        <v>19</v>
      </c>
      <c r="S18" s="175"/>
      <c r="T18" s="177" t="s">
        <v>16</v>
      </c>
      <c r="U18" s="178">
        <v>1</v>
      </c>
      <c r="V18" s="178">
        <v>0</v>
      </c>
      <c r="W18" s="179">
        <v>1</v>
      </c>
      <c r="X18" s="178">
        <v>1</v>
      </c>
      <c r="Y18" s="180">
        <v>0</v>
      </c>
      <c r="Z18" s="191">
        <f t="shared" si="7"/>
        <v>22</v>
      </c>
      <c r="AA18" s="181">
        <f t="shared" si="3"/>
        <v>128</v>
      </c>
      <c r="AB18" s="177" t="s">
        <v>13</v>
      </c>
      <c r="AC18" s="179">
        <v>1</v>
      </c>
      <c r="AD18" s="178">
        <v>0</v>
      </c>
      <c r="AE18" s="179">
        <v>1</v>
      </c>
      <c r="AF18" s="178">
        <v>0</v>
      </c>
      <c r="AG18" s="183">
        <v>1</v>
      </c>
      <c r="AH18" s="194">
        <f>SUMPRODUCT(AC18:AG18,$U$6:$Y$6)</f>
        <v>21</v>
      </c>
    </row>
    <row r="19" spans="1:34" x14ac:dyDescent="0.35">
      <c r="B19" s="313">
        <f t="shared" si="2"/>
        <v>12</v>
      </c>
      <c r="C19" s="181">
        <f t="shared" si="0"/>
        <v>64</v>
      </c>
      <c r="D19" s="310" t="s">
        <v>21</v>
      </c>
      <c r="E19" s="14">
        <v>0</v>
      </c>
      <c r="F19" s="15">
        <v>0</v>
      </c>
      <c r="G19" s="15">
        <v>1</v>
      </c>
      <c r="H19" s="15">
        <v>0</v>
      </c>
      <c r="I19" s="16">
        <v>1</v>
      </c>
      <c r="J19" s="191">
        <f t="shared" si="6"/>
        <v>5</v>
      </c>
      <c r="K19" s="176">
        <f t="shared" si="1"/>
        <v>64</v>
      </c>
      <c r="L19" s="177" t="s">
        <v>18</v>
      </c>
      <c r="M19" s="178">
        <v>1</v>
      </c>
      <c r="N19" s="178">
        <v>0</v>
      </c>
      <c r="O19" s="178">
        <v>0</v>
      </c>
      <c r="P19" s="179">
        <v>1</v>
      </c>
      <c r="Q19" s="180">
        <v>0</v>
      </c>
      <c r="R19" s="194">
        <f t="shared" si="8"/>
        <v>18</v>
      </c>
      <c r="S19" s="175"/>
      <c r="T19" s="177" t="s">
        <v>18</v>
      </c>
      <c r="U19" s="178">
        <v>1</v>
      </c>
      <c r="V19" s="178">
        <v>0</v>
      </c>
      <c r="W19" s="179">
        <v>1</v>
      </c>
      <c r="X19" s="178">
        <v>0</v>
      </c>
      <c r="Y19" s="180">
        <v>0</v>
      </c>
      <c r="Z19" s="191">
        <f t="shared" si="7"/>
        <v>20</v>
      </c>
      <c r="AA19" s="181">
        <f t="shared" si="3"/>
        <v>64</v>
      </c>
      <c r="AB19" s="177" t="s">
        <v>18</v>
      </c>
      <c r="AC19" s="178">
        <v>1</v>
      </c>
      <c r="AD19" s="178">
        <v>0</v>
      </c>
      <c r="AE19" s="179">
        <v>1</v>
      </c>
      <c r="AF19" s="178">
        <v>0</v>
      </c>
      <c r="AG19" s="180">
        <v>0</v>
      </c>
      <c r="AH19" s="194">
        <f t="shared" si="4"/>
        <v>20</v>
      </c>
    </row>
    <row r="20" spans="1:34" x14ac:dyDescent="0.35">
      <c r="B20" s="313">
        <f t="shared" si="2"/>
        <v>13</v>
      </c>
      <c r="C20" s="181">
        <f t="shared" si="0"/>
        <v>32</v>
      </c>
      <c r="D20" s="310" t="s">
        <v>22</v>
      </c>
      <c r="E20" s="14">
        <v>0</v>
      </c>
      <c r="F20" s="15">
        <v>0</v>
      </c>
      <c r="G20" s="15">
        <v>1</v>
      </c>
      <c r="H20" s="15">
        <v>0</v>
      </c>
      <c r="I20" s="16">
        <v>1</v>
      </c>
      <c r="J20" s="191">
        <f t="shared" si="6"/>
        <v>5</v>
      </c>
      <c r="K20" s="176">
        <f t="shared" si="1"/>
        <v>32</v>
      </c>
      <c r="L20" s="177" t="s">
        <v>17</v>
      </c>
      <c r="M20" s="178">
        <v>0</v>
      </c>
      <c r="N20" s="178">
        <v>1</v>
      </c>
      <c r="O20" s="178">
        <v>0</v>
      </c>
      <c r="P20" s="179">
        <v>1</v>
      </c>
      <c r="Q20" s="180">
        <v>1</v>
      </c>
      <c r="R20" s="194">
        <f t="shared" si="8"/>
        <v>11</v>
      </c>
      <c r="S20" s="175"/>
      <c r="T20" s="177" t="s">
        <v>17</v>
      </c>
      <c r="U20" s="178">
        <v>0</v>
      </c>
      <c r="V20" s="178">
        <v>1</v>
      </c>
      <c r="W20" s="179">
        <v>1</v>
      </c>
      <c r="X20" s="178">
        <v>1</v>
      </c>
      <c r="Y20" s="180">
        <v>0</v>
      </c>
      <c r="Z20" s="191">
        <f t="shared" si="7"/>
        <v>14</v>
      </c>
      <c r="AA20" s="181">
        <f t="shared" si="3"/>
        <v>32</v>
      </c>
      <c r="AB20" s="177" t="s">
        <v>17</v>
      </c>
      <c r="AC20" s="178">
        <v>0</v>
      </c>
      <c r="AD20" s="178">
        <v>1</v>
      </c>
      <c r="AE20" s="179">
        <v>1</v>
      </c>
      <c r="AF20" s="178">
        <v>1</v>
      </c>
      <c r="AG20" s="180">
        <v>0</v>
      </c>
      <c r="AH20" s="194">
        <f t="shared" si="4"/>
        <v>14</v>
      </c>
    </row>
    <row r="21" spans="1:34" x14ac:dyDescent="0.35">
      <c r="B21" s="313">
        <f t="shared" si="2"/>
        <v>14</v>
      </c>
      <c r="C21" s="181">
        <f t="shared" si="0"/>
        <v>16</v>
      </c>
      <c r="D21" s="310" t="s">
        <v>23</v>
      </c>
      <c r="E21" s="14">
        <v>0</v>
      </c>
      <c r="F21" s="15">
        <v>0</v>
      </c>
      <c r="G21" s="15">
        <v>1</v>
      </c>
      <c r="H21" s="15">
        <v>0</v>
      </c>
      <c r="I21" s="16">
        <v>1</v>
      </c>
      <c r="J21" s="191">
        <f t="shared" si="6"/>
        <v>5</v>
      </c>
      <c r="K21" s="176">
        <f t="shared" si="1"/>
        <v>16</v>
      </c>
      <c r="L21" s="177" t="s">
        <v>19</v>
      </c>
      <c r="M21" s="178">
        <v>0</v>
      </c>
      <c r="N21" s="178">
        <v>0</v>
      </c>
      <c r="O21" s="178">
        <v>1</v>
      </c>
      <c r="P21" s="178">
        <v>0</v>
      </c>
      <c r="Q21" s="183">
        <v>1</v>
      </c>
      <c r="R21" s="194">
        <f t="shared" si="8"/>
        <v>5</v>
      </c>
      <c r="S21" s="175"/>
      <c r="T21" s="177" t="s">
        <v>19</v>
      </c>
      <c r="U21" s="178">
        <v>0</v>
      </c>
      <c r="V21" s="178">
        <v>0</v>
      </c>
      <c r="W21" s="178">
        <v>0</v>
      </c>
      <c r="X21" s="179">
        <v>1</v>
      </c>
      <c r="Y21" s="180">
        <v>1</v>
      </c>
      <c r="Z21" s="191">
        <f t="shared" si="7"/>
        <v>3</v>
      </c>
      <c r="AA21" s="181">
        <f t="shared" si="3"/>
        <v>16</v>
      </c>
      <c r="AB21" s="177" t="s">
        <v>19</v>
      </c>
      <c r="AC21" s="178">
        <v>0</v>
      </c>
      <c r="AD21" s="178">
        <v>0</v>
      </c>
      <c r="AE21" s="178">
        <v>0</v>
      </c>
      <c r="AF21" s="179">
        <v>1</v>
      </c>
      <c r="AG21" s="180">
        <v>1</v>
      </c>
      <c r="AH21" s="194">
        <f t="shared" si="4"/>
        <v>3</v>
      </c>
    </row>
    <row r="22" spans="1:34" x14ac:dyDescent="0.35">
      <c r="B22" s="313">
        <f t="shared" si="2"/>
        <v>15</v>
      </c>
      <c r="C22" s="181">
        <f t="shared" si="0"/>
        <v>8</v>
      </c>
      <c r="D22" s="310" t="s">
        <v>32</v>
      </c>
      <c r="E22" s="14">
        <v>1</v>
      </c>
      <c r="F22" s="15">
        <v>1</v>
      </c>
      <c r="G22" s="15">
        <v>0</v>
      </c>
      <c r="H22" s="15">
        <v>0</v>
      </c>
      <c r="I22" s="16">
        <v>1</v>
      </c>
      <c r="J22" s="191">
        <f t="shared" si="6"/>
        <v>25</v>
      </c>
      <c r="K22" s="176">
        <f t="shared" si="1"/>
        <v>8</v>
      </c>
      <c r="L22" s="177" t="s">
        <v>20</v>
      </c>
      <c r="M22" s="178">
        <v>0</v>
      </c>
      <c r="N22" s="178">
        <v>0</v>
      </c>
      <c r="O22" s="178">
        <v>1</v>
      </c>
      <c r="P22" s="178">
        <v>0</v>
      </c>
      <c r="Q22" s="183">
        <v>1</v>
      </c>
      <c r="R22" s="194">
        <f t="shared" si="8"/>
        <v>5</v>
      </c>
      <c r="S22" s="175"/>
      <c r="T22" s="177" t="s">
        <v>20</v>
      </c>
      <c r="U22" s="178">
        <v>0</v>
      </c>
      <c r="V22" s="178">
        <v>0</v>
      </c>
      <c r="W22" s="178">
        <v>0</v>
      </c>
      <c r="X22" s="179">
        <v>1</v>
      </c>
      <c r="Y22" s="180">
        <v>1</v>
      </c>
      <c r="Z22" s="191">
        <f t="shared" si="7"/>
        <v>3</v>
      </c>
      <c r="AA22" s="181">
        <f t="shared" si="3"/>
        <v>8</v>
      </c>
      <c r="AB22" s="177" t="s">
        <v>20</v>
      </c>
      <c r="AC22" s="178">
        <v>0</v>
      </c>
      <c r="AD22" s="178">
        <v>0</v>
      </c>
      <c r="AE22" s="178">
        <v>0</v>
      </c>
      <c r="AF22" s="179">
        <v>1</v>
      </c>
      <c r="AG22" s="180">
        <v>1</v>
      </c>
      <c r="AH22" s="194">
        <f t="shared" si="4"/>
        <v>3</v>
      </c>
    </row>
    <row r="23" spans="1:34" x14ac:dyDescent="0.35">
      <c r="B23" s="313">
        <f t="shared" si="2"/>
        <v>16</v>
      </c>
      <c r="C23" s="181">
        <f t="shared" si="0"/>
        <v>4</v>
      </c>
      <c r="D23" s="310" t="s">
        <v>33</v>
      </c>
      <c r="E23" s="14">
        <v>1</v>
      </c>
      <c r="F23" s="15">
        <v>1</v>
      </c>
      <c r="G23" s="15">
        <v>0</v>
      </c>
      <c r="H23" s="15">
        <v>0</v>
      </c>
      <c r="I23" s="16">
        <v>1</v>
      </c>
      <c r="J23" s="191">
        <f t="shared" si="6"/>
        <v>25</v>
      </c>
      <c r="K23" s="176">
        <f t="shared" si="1"/>
        <v>4</v>
      </c>
      <c r="L23" s="177" t="s">
        <v>21</v>
      </c>
      <c r="M23" s="178">
        <v>0</v>
      </c>
      <c r="N23" s="178">
        <v>0</v>
      </c>
      <c r="O23" s="178">
        <v>1</v>
      </c>
      <c r="P23" s="178">
        <v>0</v>
      </c>
      <c r="Q23" s="180">
        <v>1</v>
      </c>
      <c r="R23" s="194">
        <f t="shared" si="8"/>
        <v>5</v>
      </c>
      <c r="S23" s="175"/>
      <c r="T23" s="177" t="s">
        <v>21</v>
      </c>
      <c r="U23" s="178">
        <v>0</v>
      </c>
      <c r="V23" s="178">
        <v>0</v>
      </c>
      <c r="W23" s="178">
        <v>0</v>
      </c>
      <c r="X23" s="178">
        <v>1</v>
      </c>
      <c r="Y23" s="180">
        <v>1</v>
      </c>
      <c r="Z23" s="191">
        <f t="shared" si="7"/>
        <v>3</v>
      </c>
      <c r="AA23" s="181">
        <f t="shared" si="3"/>
        <v>4</v>
      </c>
      <c r="AB23" s="177" t="s">
        <v>21</v>
      </c>
      <c r="AC23" s="178">
        <v>0</v>
      </c>
      <c r="AD23" s="178">
        <v>0</v>
      </c>
      <c r="AE23" s="178">
        <v>0</v>
      </c>
      <c r="AF23" s="178">
        <v>1</v>
      </c>
      <c r="AG23" s="180">
        <v>1</v>
      </c>
      <c r="AH23" s="194">
        <f t="shared" si="4"/>
        <v>3</v>
      </c>
    </row>
    <row r="24" spans="1:34" x14ac:dyDescent="0.35">
      <c r="B24" s="313">
        <f t="shared" si="2"/>
        <v>17</v>
      </c>
      <c r="C24" s="181">
        <f t="shared" si="0"/>
        <v>2</v>
      </c>
      <c r="D24" s="310" t="s">
        <v>34</v>
      </c>
      <c r="E24" s="14">
        <v>1</v>
      </c>
      <c r="F24" s="15">
        <v>1</v>
      </c>
      <c r="G24" s="15">
        <v>0</v>
      </c>
      <c r="H24" s="15">
        <v>0</v>
      </c>
      <c r="I24" s="16">
        <v>1</v>
      </c>
      <c r="J24" s="191">
        <f t="shared" si="6"/>
        <v>25</v>
      </c>
      <c r="K24" s="176">
        <f t="shared" si="1"/>
        <v>2</v>
      </c>
      <c r="L24" s="177" t="s">
        <v>22</v>
      </c>
      <c r="M24" s="178">
        <v>0</v>
      </c>
      <c r="N24" s="178">
        <v>0</v>
      </c>
      <c r="O24" s="178">
        <v>1</v>
      </c>
      <c r="P24" s="178">
        <v>0</v>
      </c>
      <c r="Q24" s="183">
        <v>1</v>
      </c>
      <c r="R24" s="194">
        <f t="shared" si="8"/>
        <v>5</v>
      </c>
      <c r="S24" s="175"/>
      <c r="T24" s="177" t="s">
        <v>22</v>
      </c>
      <c r="U24" s="178">
        <v>0</v>
      </c>
      <c r="V24" s="178">
        <v>0</v>
      </c>
      <c r="W24" s="178">
        <v>0</v>
      </c>
      <c r="X24" s="179">
        <v>1</v>
      </c>
      <c r="Y24" s="180">
        <v>1</v>
      </c>
      <c r="Z24" s="191">
        <f t="shared" si="7"/>
        <v>3</v>
      </c>
      <c r="AA24" s="181">
        <f t="shared" si="3"/>
        <v>2</v>
      </c>
      <c r="AB24" s="177" t="s">
        <v>22</v>
      </c>
      <c r="AC24" s="178">
        <v>0</v>
      </c>
      <c r="AD24" s="178">
        <v>0</v>
      </c>
      <c r="AE24" s="178">
        <v>0</v>
      </c>
      <c r="AF24" s="179">
        <v>1</v>
      </c>
      <c r="AG24" s="180">
        <v>1</v>
      </c>
      <c r="AH24" s="194">
        <f t="shared" si="4"/>
        <v>3</v>
      </c>
    </row>
    <row r="25" spans="1:34" ht="15" thickBot="1" x14ac:dyDescent="0.4">
      <c r="B25" s="314">
        <f t="shared" si="2"/>
        <v>18</v>
      </c>
      <c r="C25" s="160">
        <f t="shared" si="0"/>
        <v>1</v>
      </c>
      <c r="D25" s="311" t="s">
        <v>35</v>
      </c>
      <c r="E25" s="18">
        <v>1</v>
      </c>
      <c r="F25" s="19">
        <v>1</v>
      </c>
      <c r="G25" s="19">
        <v>0</v>
      </c>
      <c r="H25" s="19">
        <v>0</v>
      </c>
      <c r="I25" s="20">
        <v>1</v>
      </c>
      <c r="J25" s="192">
        <f t="shared" si="6"/>
        <v>25</v>
      </c>
      <c r="K25" s="184">
        <f t="shared" si="1"/>
        <v>1</v>
      </c>
      <c r="L25" s="185" t="s">
        <v>23</v>
      </c>
      <c r="M25" s="186">
        <v>0</v>
      </c>
      <c r="N25" s="186">
        <v>0</v>
      </c>
      <c r="O25" s="186">
        <v>1</v>
      </c>
      <c r="P25" s="186">
        <v>0</v>
      </c>
      <c r="Q25" s="187">
        <v>1</v>
      </c>
      <c r="R25" s="195">
        <f t="shared" si="8"/>
        <v>5</v>
      </c>
      <c r="S25" s="175"/>
      <c r="T25" s="185" t="s">
        <v>23</v>
      </c>
      <c r="U25" s="186">
        <v>0</v>
      </c>
      <c r="V25" s="186">
        <v>0</v>
      </c>
      <c r="W25" s="186">
        <v>0</v>
      </c>
      <c r="X25" s="186">
        <v>1</v>
      </c>
      <c r="Y25" s="187">
        <v>1</v>
      </c>
      <c r="Z25" s="192">
        <f t="shared" si="7"/>
        <v>3</v>
      </c>
      <c r="AA25" s="160">
        <f>K25</f>
        <v>1</v>
      </c>
      <c r="AB25" s="185" t="s">
        <v>23</v>
      </c>
      <c r="AC25" s="186">
        <v>0</v>
      </c>
      <c r="AD25" s="186">
        <v>0</v>
      </c>
      <c r="AE25" s="186">
        <v>0</v>
      </c>
      <c r="AF25" s="186">
        <v>1</v>
      </c>
      <c r="AG25" s="187">
        <v>1</v>
      </c>
      <c r="AH25" s="195">
        <f t="shared" si="4"/>
        <v>3</v>
      </c>
    </row>
    <row r="26" spans="1:34" ht="15" thickBot="1" x14ac:dyDescent="0.4">
      <c r="A26" s="153"/>
      <c r="B26" s="188"/>
      <c r="C26" s="175"/>
      <c r="D26" s="175"/>
      <c r="E26" s="175"/>
      <c r="F26" s="21"/>
      <c r="G26" s="175"/>
      <c r="H26" s="175"/>
      <c r="I26" s="175"/>
      <c r="J26" s="175"/>
      <c r="K26" s="175"/>
      <c r="L26" s="196" t="s">
        <v>53</v>
      </c>
      <c r="M26" s="197">
        <f>SUMPRODUCT($K$8:$K$25,M8:M25)</f>
        <v>262080</v>
      </c>
      <c r="N26" s="197">
        <f>SUMPRODUCT($K$8:$K$25,N8:N25)</f>
        <v>261152</v>
      </c>
      <c r="O26" s="197">
        <f>SUMPRODUCT($K$8:$K$25,O8:O25)</f>
        <v>799</v>
      </c>
      <c r="P26" s="197">
        <f t="shared" ref="P26:Q26" si="9">SUMPRODUCT($K$8:$K$25,P8:P25)</f>
        <v>230368</v>
      </c>
      <c r="Q26" s="198">
        <f t="shared" si="9"/>
        <v>227519</v>
      </c>
      <c r="R26" s="153"/>
      <c r="S26" s="153"/>
      <c r="T26" s="199" t="s">
        <v>54</v>
      </c>
      <c r="U26" s="200">
        <f>SUMPRODUCT($K$8:$K$22,U8:U22)</f>
        <v>262080</v>
      </c>
      <c r="V26" s="200">
        <f>SUMPRODUCT($K$8:$K$25,V8:V25)</f>
        <v>261152</v>
      </c>
      <c r="W26" s="200">
        <f>SUMPRODUCT($K$8:$K$25,W8:W25)</f>
        <v>230368</v>
      </c>
      <c r="X26" s="200">
        <f>SUMPRODUCT($K$8:$K$25,X8:X25)</f>
        <v>227519</v>
      </c>
      <c r="Y26" s="201">
        <f>SUMPRODUCT($K$8:$K$25,Y8:Y25)</f>
        <v>799</v>
      </c>
      <c r="Z26" s="153"/>
      <c r="AA26" s="153"/>
      <c r="AB26" s="196" t="s">
        <v>53</v>
      </c>
      <c r="AC26" s="197">
        <f>SUMPRODUCT(AC8:AC25,$AA$8:$AA$25)</f>
        <v>262080</v>
      </c>
      <c r="AD26" s="197">
        <f t="shared" ref="AD26:AF26" si="10">SUMPRODUCT(AD8:AD25,$AA$8:$AA$25)</f>
        <v>261152</v>
      </c>
      <c r="AE26" s="197">
        <f t="shared" si="10"/>
        <v>230368</v>
      </c>
      <c r="AF26" s="197">
        <f t="shared" si="10"/>
        <v>227903</v>
      </c>
      <c r="AG26" s="198">
        <f>SUMPRODUCT(AG8:AG25,$AA$8:$AA$25)</f>
        <v>415</v>
      </c>
      <c r="AH26" s="153"/>
    </row>
    <row r="27" spans="1:34" ht="15" thickBot="1" x14ac:dyDescent="0.4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89" t="s">
        <v>110</v>
      </c>
      <c r="AC27" s="153"/>
      <c r="AD27" s="153"/>
      <c r="AE27" s="153"/>
      <c r="AF27" s="153"/>
      <c r="AG27" s="153"/>
      <c r="AH27" s="153"/>
    </row>
    <row r="28" spans="1:34" ht="15" thickBot="1" x14ac:dyDescent="0.4">
      <c r="A28" s="385" t="s">
        <v>55</v>
      </c>
      <c r="B28" s="386"/>
      <c r="C28" s="386"/>
      <c r="D28" s="386"/>
      <c r="E28" s="386"/>
      <c r="F28" s="387"/>
      <c r="K28" s="385" t="s">
        <v>56</v>
      </c>
      <c r="L28" s="386"/>
      <c r="M28" s="386"/>
      <c r="N28" s="386"/>
      <c r="O28" s="386"/>
      <c r="P28" s="386"/>
      <c r="Q28" s="387"/>
    </row>
    <row r="29" spans="1:34" ht="15" thickBot="1" x14ac:dyDescent="0.4"/>
    <row r="30" spans="1:34" ht="15" thickBot="1" x14ac:dyDescent="0.4">
      <c r="A30" s="41"/>
      <c r="B30" s="319" t="s">
        <v>5</v>
      </c>
      <c r="C30" s="320" t="s">
        <v>6</v>
      </c>
      <c r="D30" s="320" t="s">
        <v>8</v>
      </c>
      <c r="E30" s="320" t="s">
        <v>9</v>
      </c>
      <c r="F30" s="321" t="s">
        <v>7</v>
      </c>
      <c r="K30" s="41"/>
      <c r="L30" s="214" t="s">
        <v>5</v>
      </c>
      <c r="M30" s="215" t="s">
        <v>6</v>
      </c>
      <c r="N30" s="215" t="s">
        <v>8</v>
      </c>
      <c r="O30" s="216" t="s">
        <v>57</v>
      </c>
      <c r="P30" s="215" t="s">
        <v>7</v>
      </c>
      <c r="Q30" s="217" t="s">
        <v>9</v>
      </c>
    </row>
    <row r="31" spans="1:34" x14ac:dyDescent="0.35">
      <c r="A31" s="315" t="s">
        <v>14</v>
      </c>
      <c r="B31" s="207">
        <f>U8</f>
        <v>1</v>
      </c>
      <c r="C31" s="208">
        <f t="shared" ref="C31:F31" si="11">V8</f>
        <v>1</v>
      </c>
      <c r="D31" s="208">
        <f t="shared" si="11"/>
        <v>1</v>
      </c>
      <c r="E31" s="209">
        <f t="shared" si="11"/>
        <v>1</v>
      </c>
      <c r="F31" s="148">
        <f t="shared" si="11"/>
        <v>0</v>
      </c>
      <c r="K31" s="219" t="s">
        <v>14</v>
      </c>
      <c r="L31" s="205">
        <f>B31</f>
        <v>1</v>
      </c>
      <c r="M31" s="205">
        <f t="shared" ref="M31:N43" si="12">C31</f>
        <v>1</v>
      </c>
      <c r="N31" s="205">
        <f t="shared" si="12"/>
        <v>1</v>
      </c>
      <c r="O31" s="206">
        <f>E31</f>
        <v>1</v>
      </c>
      <c r="P31" s="149">
        <v>0</v>
      </c>
      <c r="Q31" s="213">
        <v>0</v>
      </c>
    </row>
    <row r="32" spans="1:34" x14ac:dyDescent="0.35">
      <c r="A32" s="316" t="s">
        <v>15</v>
      </c>
      <c r="B32" s="210">
        <f t="shared" ref="B32:B48" si="13">U9</f>
        <v>1</v>
      </c>
      <c r="C32" s="35">
        <f t="shared" ref="C32:C48" si="14">V9</f>
        <v>1</v>
      </c>
      <c r="D32" s="35">
        <f t="shared" ref="D32:D48" si="15">W9</f>
        <v>1</v>
      </c>
      <c r="E32" s="39">
        <f t="shared" ref="E32:E48" si="16">X9</f>
        <v>1</v>
      </c>
      <c r="F32" s="32">
        <f t="shared" ref="F32:F48" si="17">Y9</f>
        <v>0</v>
      </c>
      <c r="K32" s="202" t="s">
        <v>15</v>
      </c>
      <c r="L32" s="205">
        <f t="shared" ref="L32:L43" si="18">B32</f>
        <v>1</v>
      </c>
      <c r="M32" s="205">
        <f t="shared" si="12"/>
        <v>1</v>
      </c>
      <c r="N32" s="205">
        <f t="shared" si="12"/>
        <v>1</v>
      </c>
      <c r="O32" s="206">
        <f t="shared" ref="O32:O43" si="19">E32</f>
        <v>1</v>
      </c>
      <c r="P32" s="31">
        <v>0</v>
      </c>
      <c r="Q32" s="32">
        <v>0</v>
      </c>
    </row>
    <row r="33" spans="1:17" x14ac:dyDescent="0.35">
      <c r="A33" s="316" t="s">
        <v>12</v>
      </c>
      <c r="B33" s="210">
        <f t="shared" si="13"/>
        <v>1</v>
      </c>
      <c r="C33" s="35">
        <f t="shared" si="14"/>
        <v>1</v>
      </c>
      <c r="D33" s="35">
        <f t="shared" si="15"/>
        <v>1</v>
      </c>
      <c r="E33" s="31">
        <f t="shared" si="16"/>
        <v>0</v>
      </c>
      <c r="F33" s="32">
        <f t="shared" si="17"/>
        <v>0</v>
      </c>
      <c r="K33" s="202" t="s">
        <v>12</v>
      </c>
      <c r="L33" s="205">
        <f t="shared" si="18"/>
        <v>1</v>
      </c>
      <c r="M33" s="205">
        <f t="shared" si="12"/>
        <v>1</v>
      </c>
      <c r="N33" s="205">
        <f t="shared" si="12"/>
        <v>1</v>
      </c>
      <c r="O33" s="206">
        <f t="shared" si="19"/>
        <v>0</v>
      </c>
      <c r="P33" s="31">
        <v>0</v>
      </c>
      <c r="Q33" s="32">
        <v>0</v>
      </c>
    </row>
    <row r="34" spans="1:17" x14ac:dyDescent="0.35">
      <c r="A34" s="316" t="s">
        <v>32</v>
      </c>
      <c r="B34" s="210">
        <f t="shared" si="13"/>
        <v>1</v>
      </c>
      <c r="C34" s="35">
        <f t="shared" si="14"/>
        <v>1</v>
      </c>
      <c r="D34" s="35">
        <f t="shared" si="15"/>
        <v>0</v>
      </c>
      <c r="E34" s="39">
        <f t="shared" si="16"/>
        <v>1</v>
      </c>
      <c r="F34" s="32">
        <f t="shared" si="17"/>
        <v>0</v>
      </c>
      <c r="K34" s="202" t="s">
        <v>32</v>
      </c>
      <c r="L34" s="205">
        <f t="shared" si="18"/>
        <v>1</v>
      </c>
      <c r="M34" s="205">
        <f t="shared" si="12"/>
        <v>1</v>
      </c>
      <c r="N34" s="205">
        <f t="shared" si="12"/>
        <v>0</v>
      </c>
      <c r="O34" s="206">
        <f t="shared" si="19"/>
        <v>1</v>
      </c>
      <c r="P34" s="31">
        <v>0</v>
      </c>
      <c r="Q34" s="32">
        <v>0</v>
      </c>
    </row>
    <row r="35" spans="1:17" x14ac:dyDescent="0.35">
      <c r="A35" s="316" t="s">
        <v>33</v>
      </c>
      <c r="B35" s="210">
        <f t="shared" si="13"/>
        <v>1</v>
      </c>
      <c r="C35" s="35">
        <f t="shared" si="14"/>
        <v>1</v>
      </c>
      <c r="D35" s="35">
        <f t="shared" si="15"/>
        <v>0</v>
      </c>
      <c r="E35" s="39">
        <f t="shared" si="16"/>
        <v>1</v>
      </c>
      <c r="F35" s="32">
        <f t="shared" si="17"/>
        <v>0</v>
      </c>
      <c r="K35" s="202" t="s">
        <v>33</v>
      </c>
      <c r="L35" s="205">
        <f t="shared" si="18"/>
        <v>1</v>
      </c>
      <c r="M35" s="205">
        <f t="shared" si="12"/>
        <v>1</v>
      </c>
      <c r="N35" s="205">
        <f t="shared" si="12"/>
        <v>0</v>
      </c>
      <c r="O35" s="206">
        <f t="shared" si="19"/>
        <v>1</v>
      </c>
      <c r="P35" s="31">
        <v>0</v>
      </c>
      <c r="Q35" s="32">
        <v>0</v>
      </c>
    </row>
    <row r="36" spans="1:17" x14ac:dyDescent="0.35">
      <c r="A36" s="316" t="s">
        <v>34</v>
      </c>
      <c r="B36" s="210">
        <f t="shared" si="13"/>
        <v>1</v>
      </c>
      <c r="C36" s="35">
        <f t="shared" si="14"/>
        <v>1</v>
      </c>
      <c r="D36" s="35">
        <f t="shared" si="15"/>
        <v>0</v>
      </c>
      <c r="E36" s="39">
        <f t="shared" si="16"/>
        <v>1</v>
      </c>
      <c r="F36" s="32">
        <f t="shared" si="17"/>
        <v>0</v>
      </c>
      <c r="K36" s="202" t="s">
        <v>34</v>
      </c>
      <c r="L36" s="205">
        <f t="shared" si="18"/>
        <v>1</v>
      </c>
      <c r="M36" s="205">
        <f t="shared" si="12"/>
        <v>1</v>
      </c>
      <c r="N36" s="205">
        <f t="shared" si="12"/>
        <v>0</v>
      </c>
      <c r="O36" s="206">
        <f t="shared" si="19"/>
        <v>1</v>
      </c>
      <c r="P36" s="31">
        <v>0</v>
      </c>
      <c r="Q36" s="32">
        <v>0</v>
      </c>
    </row>
    <row r="37" spans="1:17" x14ac:dyDescent="0.35">
      <c r="A37" s="316" t="s">
        <v>35</v>
      </c>
      <c r="B37" s="210">
        <f t="shared" si="13"/>
        <v>1</v>
      </c>
      <c r="C37" s="35">
        <f t="shared" si="14"/>
        <v>1</v>
      </c>
      <c r="D37" s="35">
        <f t="shared" si="15"/>
        <v>0</v>
      </c>
      <c r="E37" s="39">
        <f t="shared" si="16"/>
        <v>1</v>
      </c>
      <c r="F37" s="32">
        <f t="shared" si="17"/>
        <v>0</v>
      </c>
      <c r="K37" s="202" t="s">
        <v>35</v>
      </c>
      <c r="L37" s="205">
        <f t="shared" si="18"/>
        <v>1</v>
      </c>
      <c r="M37" s="205">
        <f t="shared" si="12"/>
        <v>1</v>
      </c>
      <c r="N37" s="205">
        <f t="shared" si="12"/>
        <v>0</v>
      </c>
      <c r="O37" s="206">
        <f t="shared" si="19"/>
        <v>1</v>
      </c>
      <c r="P37" s="31">
        <v>0</v>
      </c>
      <c r="Q37" s="32">
        <v>0</v>
      </c>
    </row>
    <row r="38" spans="1:17" x14ac:dyDescent="0.35">
      <c r="A38" s="317" t="s">
        <v>10</v>
      </c>
      <c r="B38" s="210">
        <f t="shared" si="13"/>
        <v>1</v>
      </c>
      <c r="C38" s="35">
        <f t="shared" si="14"/>
        <v>1</v>
      </c>
      <c r="D38" s="35">
        <f t="shared" si="15"/>
        <v>0</v>
      </c>
      <c r="E38" s="31">
        <f t="shared" si="16"/>
        <v>0</v>
      </c>
      <c r="F38" s="32">
        <f t="shared" si="17"/>
        <v>0</v>
      </c>
      <c r="K38" s="203" t="s">
        <v>10</v>
      </c>
      <c r="L38" s="205">
        <f t="shared" si="18"/>
        <v>1</v>
      </c>
      <c r="M38" s="205">
        <f t="shared" si="12"/>
        <v>1</v>
      </c>
      <c r="N38" s="205">
        <f t="shared" si="12"/>
        <v>0</v>
      </c>
      <c r="O38" s="206">
        <f t="shared" si="19"/>
        <v>0</v>
      </c>
      <c r="P38" s="31">
        <v>0</v>
      </c>
      <c r="Q38" s="32">
        <v>0</v>
      </c>
    </row>
    <row r="39" spans="1:17" x14ac:dyDescent="0.35">
      <c r="A39" s="316" t="s">
        <v>16</v>
      </c>
      <c r="B39" s="210">
        <f t="shared" si="13"/>
        <v>1</v>
      </c>
      <c r="C39" s="35">
        <f t="shared" si="14"/>
        <v>0</v>
      </c>
      <c r="D39" s="35">
        <f t="shared" si="15"/>
        <v>1</v>
      </c>
      <c r="E39" s="31">
        <f t="shared" si="16"/>
        <v>0</v>
      </c>
      <c r="F39" s="323">
        <f t="shared" si="17"/>
        <v>1</v>
      </c>
      <c r="K39" s="202" t="s">
        <v>16</v>
      </c>
      <c r="L39" s="205">
        <f t="shared" si="18"/>
        <v>1</v>
      </c>
      <c r="M39" s="205">
        <f t="shared" si="12"/>
        <v>0</v>
      </c>
      <c r="N39" s="205">
        <f t="shared" si="12"/>
        <v>1</v>
      </c>
      <c r="O39" s="206">
        <f t="shared" si="19"/>
        <v>0</v>
      </c>
      <c r="P39" s="31">
        <v>0</v>
      </c>
      <c r="Q39" s="32">
        <v>0</v>
      </c>
    </row>
    <row r="40" spans="1:17" x14ac:dyDescent="0.35">
      <c r="A40" s="316" t="s">
        <v>11</v>
      </c>
      <c r="B40" s="210">
        <f t="shared" si="13"/>
        <v>1</v>
      </c>
      <c r="C40" s="35">
        <f t="shared" si="14"/>
        <v>0</v>
      </c>
      <c r="D40" s="35">
        <f t="shared" si="15"/>
        <v>1</v>
      </c>
      <c r="E40" s="31">
        <f t="shared" si="16"/>
        <v>0</v>
      </c>
      <c r="F40" s="323">
        <f t="shared" si="17"/>
        <v>1</v>
      </c>
      <c r="K40" s="202" t="s">
        <v>11</v>
      </c>
      <c r="L40" s="205">
        <f t="shared" si="18"/>
        <v>1</v>
      </c>
      <c r="M40" s="205">
        <f t="shared" si="12"/>
        <v>0</v>
      </c>
      <c r="N40" s="205">
        <f t="shared" si="12"/>
        <v>1</v>
      </c>
      <c r="O40" s="206">
        <f t="shared" si="19"/>
        <v>0</v>
      </c>
      <c r="P40" s="40">
        <v>1</v>
      </c>
      <c r="Q40" s="32">
        <v>0</v>
      </c>
    </row>
    <row r="41" spans="1:17" x14ac:dyDescent="0.35">
      <c r="A41" s="316" t="s">
        <v>13</v>
      </c>
      <c r="B41" s="210">
        <f t="shared" si="13"/>
        <v>1</v>
      </c>
      <c r="C41" s="35">
        <f t="shared" si="14"/>
        <v>0</v>
      </c>
      <c r="D41" s="35">
        <f t="shared" si="15"/>
        <v>1</v>
      </c>
      <c r="E41" s="39">
        <f t="shared" si="16"/>
        <v>1</v>
      </c>
      <c r="F41" s="32">
        <f t="shared" si="17"/>
        <v>0</v>
      </c>
      <c r="K41" s="202" t="s">
        <v>13</v>
      </c>
      <c r="L41" s="205">
        <f t="shared" si="18"/>
        <v>1</v>
      </c>
      <c r="M41" s="205">
        <f t="shared" si="12"/>
        <v>0</v>
      </c>
      <c r="N41" s="205">
        <f t="shared" si="12"/>
        <v>1</v>
      </c>
      <c r="O41" s="206">
        <f t="shared" si="19"/>
        <v>1</v>
      </c>
      <c r="P41" s="40">
        <v>1</v>
      </c>
      <c r="Q41" s="32">
        <v>0</v>
      </c>
    </row>
    <row r="42" spans="1:17" x14ac:dyDescent="0.35">
      <c r="A42" s="316" t="s">
        <v>18</v>
      </c>
      <c r="B42" s="210">
        <f t="shared" si="13"/>
        <v>1</v>
      </c>
      <c r="C42" s="35">
        <f t="shared" si="14"/>
        <v>0</v>
      </c>
      <c r="D42" s="35">
        <f t="shared" si="15"/>
        <v>1</v>
      </c>
      <c r="E42" s="31">
        <f t="shared" si="16"/>
        <v>0</v>
      </c>
      <c r="F42" s="32">
        <f t="shared" si="17"/>
        <v>0</v>
      </c>
      <c r="K42" s="202" t="s">
        <v>18</v>
      </c>
      <c r="L42" s="205">
        <f t="shared" si="18"/>
        <v>1</v>
      </c>
      <c r="M42" s="205">
        <f t="shared" si="12"/>
        <v>0</v>
      </c>
      <c r="N42" s="205">
        <f t="shared" si="12"/>
        <v>1</v>
      </c>
      <c r="O42" s="206">
        <f t="shared" si="19"/>
        <v>0</v>
      </c>
      <c r="P42" s="31">
        <v>0</v>
      </c>
      <c r="Q42" s="32">
        <v>0</v>
      </c>
    </row>
    <row r="43" spans="1:17" x14ac:dyDescent="0.35">
      <c r="A43" s="316" t="s">
        <v>17</v>
      </c>
      <c r="B43" s="210">
        <f t="shared" si="13"/>
        <v>0</v>
      </c>
      <c r="C43" s="35">
        <f t="shared" si="14"/>
        <v>1</v>
      </c>
      <c r="D43" s="35">
        <f t="shared" si="15"/>
        <v>1</v>
      </c>
      <c r="E43" s="39">
        <f t="shared" si="16"/>
        <v>1</v>
      </c>
      <c r="F43" s="32">
        <f t="shared" si="17"/>
        <v>0</v>
      </c>
      <c r="K43" s="202" t="s">
        <v>17</v>
      </c>
      <c r="L43" s="205">
        <f t="shared" si="18"/>
        <v>0</v>
      </c>
      <c r="M43" s="205">
        <f t="shared" si="12"/>
        <v>1</v>
      </c>
      <c r="N43" s="205">
        <f t="shared" si="12"/>
        <v>1</v>
      </c>
      <c r="O43" s="206">
        <f t="shared" si="19"/>
        <v>1</v>
      </c>
      <c r="P43" s="31">
        <v>0</v>
      </c>
      <c r="Q43" s="32">
        <v>0</v>
      </c>
    </row>
    <row r="44" spans="1:17" x14ac:dyDescent="0.35">
      <c r="A44" s="316" t="s">
        <v>19</v>
      </c>
      <c r="B44" s="211">
        <f t="shared" si="13"/>
        <v>0</v>
      </c>
      <c r="C44" s="31">
        <f t="shared" si="14"/>
        <v>0</v>
      </c>
      <c r="D44" s="31">
        <f t="shared" si="15"/>
        <v>0</v>
      </c>
      <c r="E44" s="35">
        <f t="shared" si="16"/>
        <v>1</v>
      </c>
      <c r="F44" s="34">
        <f t="shared" si="17"/>
        <v>1</v>
      </c>
      <c r="K44" s="202" t="s">
        <v>19</v>
      </c>
      <c r="L44" s="27">
        <v>0</v>
      </c>
      <c r="M44" s="31">
        <v>0</v>
      </c>
      <c r="N44" s="31">
        <v>0</v>
      </c>
      <c r="O44" s="31">
        <v>0</v>
      </c>
      <c r="P44" s="35">
        <v>1</v>
      </c>
      <c r="Q44" s="133">
        <v>1</v>
      </c>
    </row>
    <row r="45" spans="1:17" x14ac:dyDescent="0.35">
      <c r="A45" s="316" t="s">
        <v>20</v>
      </c>
      <c r="B45" s="211">
        <f t="shared" si="13"/>
        <v>0</v>
      </c>
      <c r="C45" s="31">
        <f t="shared" si="14"/>
        <v>0</v>
      </c>
      <c r="D45" s="31">
        <f t="shared" si="15"/>
        <v>0</v>
      </c>
      <c r="E45" s="35">
        <f t="shared" si="16"/>
        <v>1</v>
      </c>
      <c r="F45" s="34">
        <f t="shared" si="17"/>
        <v>1</v>
      </c>
      <c r="K45" s="202" t="s">
        <v>20</v>
      </c>
      <c r="L45" s="27">
        <v>0</v>
      </c>
      <c r="M45" s="31">
        <v>0</v>
      </c>
      <c r="N45" s="31">
        <v>0</v>
      </c>
      <c r="O45" s="31">
        <v>0</v>
      </c>
      <c r="P45" s="35">
        <v>1</v>
      </c>
      <c r="Q45" s="133">
        <v>1</v>
      </c>
    </row>
    <row r="46" spans="1:17" x14ac:dyDescent="0.35">
      <c r="A46" s="316" t="s">
        <v>21</v>
      </c>
      <c r="B46" s="211">
        <f t="shared" si="13"/>
        <v>0</v>
      </c>
      <c r="C46" s="31">
        <f t="shared" si="14"/>
        <v>0</v>
      </c>
      <c r="D46" s="31">
        <f t="shared" si="15"/>
        <v>0</v>
      </c>
      <c r="E46" s="35">
        <f t="shared" si="16"/>
        <v>1</v>
      </c>
      <c r="F46" s="34">
        <f t="shared" si="17"/>
        <v>1</v>
      </c>
      <c r="K46" s="202" t="s">
        <v>21</v>
      </c>
      <c r="L46" s="27">
        <v>0</v>
      </c>
      <c r="M46" s="31">
        <v>0</v>
      </c>
      <c r="N46" s="31">
        <v>0</v>
      </c>
      <c r="O46" s="31">
        <v>0</v>
      </c>
      <c r="P46" s="35">
        <v>1</v>
      </c>
      <c r="Q46" s="34">
        <v>1</v>
      </c>
    </row>
    <row r="47" spans="1:17" x14ac:dyDescent="0.35">
      <c r="A47" s="316" t="s">
        <v>22</v>
      </c>
      <c r="B47" s="211">
        <f t="shared" si="13"/>
        <v>0</v>
      </c>
      <c r="C47" s="31">
        <f t="shared" si="14"/>
        <v>0</v>
      </c>
      <c r="D47" s="31">
        <f t="shared" si="15"/>
        <v>0</v>
      </c>
      <c r="E47" s="35">
        <f t="shared" si="16"/>
        <v>1</v>
      </c>
      <c r="F47" s="34">
        <f t="shared" si="17"/>
        <v>1</v>
      </c>
      <c r="K47" s="202" t="s">
        <v>22</v>
      </c>
      <c r="L47" s="27">
        <v>0</v>
      </c>
      <c r="M47" s="31">
        <v>0</v>
      </c>
      <c r="N47" s="31">
        <v>0</v>
      </c>
      <c r="O47" s="31">
        <v>0</v>
      </c>
      <c r="P47" s="35">
        <v>1</v>
      </c>
      <c r="Q47" s="133">
        <v>1</v>
      </c>
    </row>
    <row r="48" spans="1:17" ht="15" thickBot="1" x14ac:dyDescent="0.4">
      <c r="A48" s="318" t="s">
        <v>23</v>
      </c>
      <c r="B48" s="212">
        <f t="shared" si="13"/>
        <v>0</v>
      </c>
      <c r="C48" s="33">
        <f t="shared" si="14"/>
        <v>0</v>
      </c>
      <c r="D48" s="33">
        <f t="shared" si="15"/>
        <v>0</v>
      </c>
      <c r="E48" s="37">
        <f t="shared" si="16"/>
        <v>1</v>
      </c>
      <c r="F48" s="36">
        <f t="shared" si="17"/>
        <v>1</v>
      </c>
      <c r="K48" s="204" t="s">
        <v>23</v>
      </c>
      <c r="L48" s="218">
        <v>0</v>
      </c>
      <c r="M48" s="33">
        <v>0</v>
      </c>
      <c r="N48" s="33">
        <v>0</v>
      </c>
      <c r="O48" s="33">
        <v>0</v>
      </c>
      <c r="P48" s="37">
        <v>1</v>
      </c>
      <c r="Q48" s="36">
        <v>1</v>
      </c>
    </row>
    <row r="50" spans="2:13" x14ac:dyDescent="0.35">
      <c r="K50" s="30"/>
      <c r="L50" s="30"/>
      <c r="M50" s="30"/>
    </row>
    <row r="51" spans="2:13" ht="15" thickBot="1" x14ac:dyDescent="0.4">
      <c r="K51" s="30"/>
      <c r="L51" s="30"/>
      <c r="M51" s="30"/>
    </row>
    <row r="52" spans="2:13" ht="19" thickBot="1" x14ac:dyDescent="0.5">
      <c r="B52" s="224" t="s">
        <v>87</v>
      </c>
      <c r="C52" s="225" t="s">
        <v>88</v>
      </c>
      <c r="K52" s="30"/>
      <c r="L52" s="30"/>
      <c r="M52" s="30"/>
    </row>
    <row r="53" spans="2:13" x14ac:dyDescent="0.35">
      <c r="B53" s="388">
        <v>1</v>
      </c>
      <c r="C53" s="220" t="s">
        <v>14</v>
      </c>
      <c r="D53" s="150"/>
      <c r="F53" t="s">
        <v>112</v>
      </c>
    </row>
    <row r="54" spans="2:13" x14ac:dyDescent="0.35">
      <c r="B54" s="389"/>
      <c r="C54" s="221" t="s">
        <v>15</v>
      </c>
      <c r="D54" s="151"/>
    </row>
    <row r="55" spans="2:13" x14ac:dyDescent="0.35">
      <c r="B55" s="389"/>
      <c r="C55" s="221" t="s">
        <v>12</v>
      </c>
      <c r="D55" s="151"/>
    </row>
    <row r="56" spans="2:13" x14ac:dyDescent="0.35">
      <c r="B56" s="389"/>
      <c r="C56" s="221" t="s">
        <v>32</v>
      </c>
      <c r="D56" s="151"/>
    </row>
    <row r="57" spans="2:13" x14ac:dyDescent="0.35">
      <c r="B57" s="389"/>
      <c r="C57" s="221" t="s">
        <v>33</v>
      </c>
      <c r="D57" s="151"/>
    </row>
    <row r="58" spans="2:13" x14ac:dyDescent="0.35">
      <c r="B58" s="389"/>
      <c r="C58" s="221" t="s">
        <v>34</v>
      </c>
      <c r="D58" s="151"/>
    </row>
    <row r="59" spans="2:13" x14ac:dyDescent="0.35">
      <c r="B59" s="389"/>
      <c r="C59" s="221" t="s">
        <v>35</v>
      </c>
      <c r="D59" s="151"/>
    </row>
    <row r="60" spans="2:13" x14ac:dyDescent="0.35">
      <c r="B60" s="389"/>
      <c r="C60" s="223" t="s">
        <v>10</v>
      </c>
      <c r="D60" s="151"/>
    </row>
    <row r="61" spans="2:13" x14ac:dyDescent="0.35">
      <c r="B61" s="389"/>
      <c r="C61" s="221" t="s">
        <v>16</v>
      </c>
      <c r="D61" s="151"/>
    </row>
    <row r="62" spans="2:13" x14ac:dyDescent="0.35">
      <c r="B62" s="389"/>
      <c r="C62" s="221" t="s">
        <v>11</v>
      </c>
      <c r="D62" s="226" t="s">
        <v>111</v>
      </c>
    </row>
    <row r="63" spans="2:13" x14ac:dyDescent="0.35">
      <c r="B63" s="389"/>
      <c r="C63" s="221" t="s">
        <v>13</v>
      </c>
      <c r="D63" s="226" t="s">
        <v>111</v>
      </c>
    </row>
    <row r="64" spans="2:13" x14ac:dyDescent="0.35">
      <c r="B64" s="389"/>
      <c r="C64" s="221" t="s">
        <v>18</v>
      </c>
      <c r="D64" s="151"/>
    </row>
    <row r="65" spans="2:4" ht="15" thickBot="1" x14ac:dyDescent="0.4">
      <c r="B65" s="390"/>
      <c r="C65" s="222" t="s">
        <v>17</v>
      </c>
      <c r="D65" s="152"/>
    </row>
    <row r="66" spans="2:4" x14ac:dyDescent="0.35">
      <c r="B66" s="388">
        <v>2</v>
      </c>
      <c r="C66" s="220" t="s">
        <v>19</v>
      </c>
      <c r="D66" s="150"/>
    </row>
    <row r="67" spans="2:4" x14ac:dyDescent="0.35">
      <c r="B67" s="389"/>
      <c r="C67" s="221" t="s">
        <v>20</v>
      </c>
      <c r="D67" s="151"/>
    </row>
    <row r="68" spans="2:4" x14ac:dyDescent="0.35">
      <c r="B68" s="389"/>
      <c r="C68" s="221" t="s">
        <v>21</v>
      </c>
      <c r="D68" s="151"/>
    </row>
    <row r="69" spans="2:4" x14ac:dyDescent="0.35">
      <c r="B69" s="389"/>
      <c r="C69" s="221" t="s">
        <v>22</v>
      </c>
      <c r="D69" s="151"/>
    </row>
    <row r="70" spans="2:4" ht="15" thickBot="1" x14ac:dyDescent="0.4">
      <c r="B70" s="390"/>
      <c r="C70" s="222" t="s">
        <v>23</v>
      </c>
      <c r="D70" s="152"/>
    </row>
  </sheetData>
  <mergeCells count="10">
    <mergeCell ref="B53:B65"/>
    <mergeCell ref="B66:B70"/>
    <mergeCell ref="D4:I4"/>
    <mergeCell ref="L4:Q4"/>
    <mergeCell ref="T4:Y4"/>
    <mergeCell ref="A2:N2"/>
    <mergeCell ref="A1:N1"/>
    <mergeCell ref="AB4:AG4"/>
    <mergeCell ref="A28:F28"/>
    <mergeCell ref="K28:Q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37"/>
  <sheetViews>
    <sheetView topLeftCell="B93" zoomScale="85" zoomScaleNormal="85" workbookViewId="0">
      <selection activeCell="G93" sqref="G93:H99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  <col min="27" max="27" width="10.26953125" customWidth="1"/>
  </cols>
  <sheetData>
    <row r="2" spans="2:26" ht="42" customHeight="1" thickBot="1" x14ac:dyDescent="0.4">
      <c r="B2" s="3" t="s">
        <v>2</v>
      </c>
      <c r="C2" s="2"/>
      <c r="D2" s="2"/>
      <c r="E2" s="2"/>
      <c r="F2" s="2"/>
      <c r="G2" s="1"/>
      <c r="H2" s="1"/>
      <c r="I2" s="407" t="s">
        <v>3</v>
      </c>
      <c r="J2" s="407"/>
      <c r="K2" s="407"/>
      <c r="L2" s="407"/>
      <c r="M2" s="407"/>
      <c r="N2" s="407"/>
      <c r="O2" s="2"/>
      <c r="P2" s="3" t="s">
        <v>4</v>
      </c>
      <c r="Q2" s="2"/>
      <c r="R2" s="2"/>
      <c r="S2" s="2"/>
      <c r="T2" s="2"/>
      <c r="U2" s="1"/>
      <c r="X2" s="43" t="s">
        <v>43</v>
      </c>
      <c r="Y2" s="43" t="s">
        <v>29</v>
      </c>
      <c r="Z2" s="43" t="s">
        <v>30</v>
      </c>
    </row>
    <row r="3" spans="2:26" ht="26.5" thickBot="1" x14ac:dyDescent="0.4">
      <c r="B3" s="4"/>
      <c r="C3" s="327" t="s">
        <v>5</v>
      </c>
      <c r="D3" s="327" t="s">
        <v>6</v>
      </c>
      <c r="E3" s="327" t="s">
        <v>7</v>
      </c>
      <c r="F3" s="327" t="s">
        <v>8</v>
      </c>
      <c r="G3" s="328" t="s">
        <v>9</v>
      </c>
      <c r="H3" s="1"/>
      <c r="I3" s="5"/>
      <c r="J3" s="340" t="s">
        <v>5</v>
      </c>
      <c r="K3" s="340" t="s">
        <v>6</v>
      </c>
      <c r="L3" s="340" t="s">
        <v>7</v>
      </c>
      <c r="M3" s="340" t="s">
        <v>8</v>
      </c>
      <c r="N3" s="341" t="s">
        <v>9</v>
      </c>
      <c r="O3" s="2"/>
      <c r="P3" s="4"/>
      <c r="Q3" s="22" t="s">
        <v>5</v>
      </c>
      <c r="R3" s="22" t="s">
        <v>6</v>
      </c>
      <c r="S3" s="22" t="s">
        <v>7</v>
      </c>
      <c r="T3" s="22" t="s">
        <v>8</v>
      </c>
      <c r="U3" s="23" t="s">
        <v>9</v>
      </c>
      <c r="W3" s="235" t="s">
        <v>42</v>
      </c>
      <c r="X3" s="351" t="s">
        <v>45</v>
      </c>
      <c r="Y3" s="351" t="s">
        <v>44</v>
      </c>
      <c r="Z3" s="351" t="s">
        <v>44</v>
      </c>
    </row>
    <row r="4" spans="2:26" x14ac:dyDescent="0.35">
      <c r="B4" s="324" t="s">
        <v>10</v>
      </c>
      <c r="C4" s="330">
        <f>Data!B8</f>
        <v>0.55000000000000004</v>
      </c>
      <c r="D4" s="331">
        <f>Data!C8</f>
        <v>1.25</v>
      </c>
      <c r="E4" s="331">
        <f>Data!D8</f>
        <v>0</v>
      </c>
      <c r="F4" s="331">
        <f>Data!E8</f>
        <v>0</v>
      </c>
      <c r="G4" s="332">
        <f>Data!F8</f>
        <v>0</v>
      </c>
      <c r="H4" s="1"/>
      <c r="I4" s="324" t="str">
        <f>B4</f>
        <v>PZ1</v>
      </c>
      <c r="J4" s="330">
        <f>Data!I8</f>
        <v>3</v>
      </c>
      <c r="K4" s="331">
        <f>Data!J8</f>
        <v>3</v>
      </c>
      <c r="L4" s="331">
        <f>Data!K8</f>
        <v>0</v>
      </c>
      <c r="M4" s="331">
        <f>Data!L8</f>
        <v>0</v>
      </c>
      <c r="N4" s="332">
        <f>Data!M8</f>
        <v>0</v>
      </c>
      <c r="O4" s="2"/>
      <c r="P4" s="324" t="str">
        <f>I4</f>
        <v>PZ1</v>
      </c>
      <c r="Q4" s="343">
        <f>J4/4</f>
        <v>0.75</v>
      </c>
      <c r="R4" s="344">
        <f t="shared" ref="R4:U4" si="0">K4/4</f>
        <v>0.75</v>
      </c>
      <c r="S4" s="344">
        <f t="shared" si="0"/>
        <v>0</v>
      </c>
      <c r="T4" s="344">
        <f t="shared" si="0"/>
        <v>0</v>
      </c>
      <c r="U4" s="345">
        <f t="shared" si="0"/>
        <v>0</v>
      </c>
      <c r="W4" s="234" t="str">
        <f>P4</f>
        <v>PZ1</v>
      </c>
      <c r="X4" s="353">
        <f>Data!B39</f>
        <v>500</v>
      </c>
      <c r="Y4" s="354">
        <f>Data!C39</f>
        <v>10</v>
      </c>
      <c r="Z4" s="355">
        <f>Y4*2</f>
        <v>20</v>
      </c>
    </row>
    <row r="5" spans="2:26" x14ac:dyDescent="0.35">
      <c r="B5" s="325" t="s">
        <v>11</v>
      </c>
      <c r="C5" s="333">
        <f>Data!B9</f>
        <v>0.25</v>
      </c>
      <c r="D5" s="329">
        <f>Data!C9</f>
        <v>0</v>
      </c>
      <c r="E5" s="329">
        <f>Data!D9</f>
        <v>0.5</v>
      </c>
      <c r="F5" s="329">
        <f>Data!E9</f>
        <v>0.2</v>
      </c>
      <c r="G5" s="334">
        <f>Data!F9</f>
        <v>0</v>
      </c>
      <c r="H5" s="1"/>
      <c r="I5" s="338" t="str">
        <f t="shared" ref="I5:I21" si="1">B5</f>
        <v>PZ2</v>
      </c>
      <c r="J5" s="333">
        <f>Data!I9</f>
        <v>1.5</v>
      </c>
      <c r="K5" s="329">
        <f>Data!J9</f>
        <v>0</v>
      </c>
      <c r="L5" s="329">
        <f>Data!K9</f>
        <v>3</v>
      </c>
      <c r="M5" s="329">
        <f>Data!L9</f>
        <v>2</v>
      </c>
      <c r="N5" s="334">
        <f>Data!M9</f>
        <v>0</v>
      </c>
      <c r="O5" s="2"/>
      <c r="P5" s="338" t="str">
        <f t="shared" ref="P5:P21" si="2">I5</f>
        <v>PZ2</v>
      </c>
      <c r="Q5" s="346">
        <f t="shared" ref="Q5:Q21" si="3">J5/4</f>
        <v>0.375</v>
      </c>
      <c r="R5" s="342">
        <f t="shared" ref="R5:R21" si="4">K5/4</f>
        <v>0</v>
      </c>
      <c r="S5" s="371">
        <f>L5</f>
        <v>3</v>
      </c>
      <c r="T5" s="342">
        <f t="shared" ref="T5:T21" si="5">M5/4</f>
        <v>0.5</v>
      </c>
      <c r="U5" s="347">
        <f t="shared" ref="U5:U21" si="6">N5/4</f>
        <v>0</v>
      </c>
      <c r="W5" s="230" t="str">
        <f t="shared" ref="W5:W21" si="7">P5</f>
        <v>PZ2</v>
      </c>
      <c r="X5" s="359">
        <f>Data!B40</f>
        <v>500</v>
      </c>
      <c r="Y5" s="360">
        <f>Data!C40</f>
        <v>12</v>
      </c>
      <c r="Z5" s="44">
        <f>Y5</f>
        <v>12</v>
      </c>
    </row>
    <row r="6" spans="2:26" x14ac:dyDescent="0.35">
      <c r="B6" s="325" t="s">
        <v>12</v>
      </c>
      <c r="C6" s="333">
        <f>Data!B10</f>
        <v>0.4</v>
      </c>
      <c r="D6" s="329">
        <f>Data!C10</f>
        <v>0.5</v>
      </c>
      <c r="E6" s="329">
        <f>Data!D10</f>
        <v>0</v>
      </c>
      <c r="F6" s="329">
        <f>Data!E10</f>
        <v>0.65</v>
      </c>
      <c r="G6" s="334">
        <f>Data!F10</f>
        <v>0</v>
      </c>
      <c r="H6" s="1"/>
      <c r="I6" s="338" t="str">
        <f t="shared" si="1"/>
        <v>PZ3</v>
      </c>
      <c r="J6" s="333">
        <f>Data!I10</f>
        <v>2</v>
      </c>
      <c r="K6" s="329">
        <f>Data!J10</f>
        <v>3</v>
      </c>
      <c r="L6" s="329">
        <f>Data!K10</f>
        <v>0</v>
      </c>
      <c r="M6" s="329">
        <f>Data!L10</f>
        <v>2.5</v>
      </c>
      <c r="N6" s="334">
        <f>Data!M10</f>
        <v>0</v>
      </c>
      <c r="O6" s="2"/>
      <c r="P6" s="338" t="str">
        <f t="shared" si="2"/>
        <v>PZ3</v>
      </c>
      <c r="Q6" s="346">
        <f t="shared" si="3"/>
        <v>0.5</v>
      </c>
      <c r="R6" s="342">
        <f t="shared" si="4"/>
        <v>0.75</v>
      </c>
      <c r="S6" s="342">
        <f t="shared" ref="S6:S21" si="8">L6/4</f>
        <v>0</v>
      </c>
      <c r="T6" s="342">
        <f t="shared" si="5"/>
        <v>0.625</v>
      </c>
      <c r="U6" s="347">
        <f t="shared" si="6"/>
        <v>0</v>
      </c>
      <c r="W6" s="229" t="str">
        <f t="shared" si="7"/>
        <v>PZ3</v>
      </c>
      <c r="X6" s="356">
        <f>Data!B41</f>
        <v>500</v>
      </c>
      <c r="Y6" s="352">
        <f>Data!C41</f>
        <v>18</v>
      </c>
      <c r="Z6" s="45">
        <f t="shared" ref="Z6:Z21" si="9">Y6*2</f>
        <v>36</v>
      </c>
    </row>
    <row r="7" spans="2:26" x14ac:dyDescent="0.35">
      <c r="B7" s="325" t="s">
        <v>13</v>
      </c>
      <c r="C7" s="333">
        <f>Data!B11</f>
        <v>0.4</v>
      </c>
      <c r="D7" s="329">
        <f>Data!C11</f>
        <v>0</v>
      </c>
      <c r="E7" s="329">
        <f>Data!D11</f>
        <v>1.25</v>
      </c>
      <c r="F7" s="329">
        <f>Data!E11</f>
        <v>0.35</v>
      </c>
      <c r="G7" s="334">
        <f>Data!F11</f>
        <v>0</v>
      </c>
      <c r="H7" s="1"/>
      <c r="I7" s="338" t="str">
        <f t="shared" si="1"/>
        <v>PZ4</v>
      </c>
      <c r="J7" s="333">
        <f>Data!I11</f>
        <v>2</v>
      </c>
      <c r="K7" s="329">
        <f>Data!J11</f>
        <v>0</v>
      </c>
      <c r="L7" s="329">
        <f>Data!K11</f>
        <v>5.5</v>
      </c>
      <c r="M7" s="329">
        <f>Data!L11</f>
        <v>3</v>
      </c>
      <c r="N7" s="334">
        <f>Data!M11</f>
        <v>0</v>
      </c>
      <c r="O7" s="2"/>
      <c r="P7" s="338" t="str">
        <f t="shared" si="2"/>
        <v>PZ4</v>
      </c>
      <c r="Q7" s="346">
        <f t="shared" si="3"/>
        <v>0.5</v>
      </c>
      <c r="R7" s="342">
        <f t="shared" si="4"/>
        <v>0</v>
      </c>
      <c r="S7" s="371">
        <f>L7</f>
        <v>5.5</v>
      </c>
      <c r="T7" s="342">
        <f t="shared" si="5"/>
        <v>0.75</v>
      </c>
      <c r="U7" s="347">
        <f t="shared" si="6"/>
        <v>0</v>
      </c>
      <c r="W7" s="230" t="str">
        <f t="shared" si="7"/>
        <v>PZ4</v>
      </c>
      <c r="X7" s="359">
        <f>Data!B42</f>
        <v>500</v>
      </c>
      <c r="Y7" s="360">
        <f>Data!C42</f>
        <v>9</v>
      </c>
      <c r="Z7" s="44">
        <f>Y7</f>
        <v>9</v>
      </c>
    </row>
    <row r="8" spans="2:26" x14ac:dyDescent="0.35">
      <c r="B8" s="325" t="s">
        <v>14</v>
      </c>
      <c r="C8" s="333">
        <f>Data!B12</f>
        <v>0.2</v>
      </c>
      <c r="D8" s="329">
        <f>Data!C12</f>
        <v>0.2</v>
      </c>
      <c r="E8" s="329">
        <f>Data!D12</f>
        <v>0</v>
      </c>
      <c r="F8" s="329">
        <f>Data!E12</f>
        <v>0.15</v>
      </c>
      <c r="G8" s="334">
        <f>Data!F12</f>
        <v>0.5</v>
      </c>
      <c r="H8" s="1"/>
      <c r="I8" s="338" t="str">
        <f t="shared" si="1"/>
        <v>DI1</v>
      </c>
      <c r="J8" s="333">
        <f>Data!I12</f>
        <v>2</v>
      </c>
      <c r="K8" s="329">
        <f>Data!J12</f>
        <v>1.5</v>
      </c>
      <c r="L8" s="329">
        <f>Data!K12</f>
        <v>0</v>
      </c>
      <c r="M8" s="329">
        <f>Data!L12</f>
        <v>2</v>
      </c>
      <c r="N8" s="334">
        <f>Data!M12</f>
        <v>1</v>
      </c>
      <c r="O8" s="2"/>
      <c r="P8" s="338" t="str">
        <f t="shared" si="2"/>
        <v>DI1</v>
      </c>
      <c r="Q8" s="346">
        <f t="shared" si="3"/>
        <v>0.5</v>
      </c>
      <c r="R8" s="342">
        <f t="shared" si="4"/>
        <v>0.375</v>
      </c>
      <c r="S8" s="342">
        <f t="shared" si="8"/>
        <v>0</v>
      </c>
      <c r="T8" s="342">
        <f t="shared" si="5"/>
        <v>0.5</v>
      </c>
      <c r="U8" s="347">
        <f t="shared" si="6"/>
        <v>0.25</v>
      </c>
      <c r="W8" s="229" t="str">
        <f t="shared" si="7"/>
        <v>DI1</v>
      </c>
      <c r="X8" s="356">
        <f>Data!B43</f>
        <v>2500</v>
      </c>
      <c r="Y8" s="352">
        <f>Data!C43</f>
        <v>40</v>
      </c>
      <c r="Z8" s="45">
        <f>Y8*2</f>
        <v>80</v>
      </c>
    </row>
    <row r="9" spans="2:26" x14ac:dyDescent="0.35">
      <c r="B9" s="325" t="s">
        <v>15</v>
      </c>
      <c r="C9" s="333">
        <f>Data!B13</f>
        <v>0.2</v>
      </c>
      <c r="D9" s="329">
        <f>Data!C13</f>
        <v>0.4</v>
      </c>
      <c r="E9" s="329">
        <f>Data!D13</f>
        <v>0</v>
      </c>
      <c r="F9" s="329">
        <f>Data!E13</f>
        <v>0.14000000000000001</v>
      </c>
      <c r="G9" s="334">
        <f>Data!F13</f>
        <v>1</v>
      </c>
      <c r="H9" s="1"/>
      <c r="I9" s="338" t="str">
        <f t="shared" si="1"/>
        <v>DI2</v>
      </c>
      <c r="J9" s="333">
        <f>Data!I13</f>
        <v>1.5</v>
      </c>
      <c r="K9" s="329">
        <f>Data!J13</f>
        <v>1</v>
      </c>
      <c r="L9" s="329">
        <f>Data!K13</f>
        <v>0</v>
      </c>
      <c r="M9" s="329">
        <f>Data!L13</f>
        <v>3</v>
      </c>
      <c r="N9" s="334">
        <f>Data!M13</f>
        <v>0.5</v>
      </c>
      <c r="O9" s="2"/>
      <c r="P9" s="338" t="str">
        <f t="shared" si="2"/>
        <v>DI2</v>
      </c>
      <c r="Q9" s="346">
        <f t="shared" si="3"/>
        <v>0.375</v>
      </c>
      <c r="R9" s="342">
        <f t="shared" si="4"/>
        <v>0.25</v>
      </c>
      <c r="S9" s="342">
        <f t="shared" si="8"/>
        <v>0</v>
      </c>
      <c r="T9" s="342">
        <f t="shared" si="5"/>
        <v>0.75</v>
      </c>
      <c r="U9" s="347">
        <f t="shared" si="6"/>
        <v>0.125</v>
      </c>
      <c r="W9" s="229" t="str">
        <f t="shared" si="7"/>
        <v>DI2</v>
      </c>
      <c r="X9" s="356">
        <f>Data!B44</f>
        <v>3400</v>
      </c>
      <c r="Y9" s="352">
        <f>Data!C44</f>
        <v>40</v>
      </c>
      <c r="Z9" s="45">
        <f t="shared" ref="Z9:Z11" si="10">Y9*2</f>
        <v>80</v>
      </c>
    </row>
    <row r="10" spans="2:26" x14ac:dyDescent="0.35">
      <c r="B10" s="325" t="s">
        <v>16</v>
      </c>
      <c r="C10" s="333">
        <f>Data!B14</f>
        <v>0.3</v>
      </c>
      <c r="D10" s="329">
        <f>Data!C14</f>
        <v>0</v>
      </c>
      <c r="E10" s="329">
        <f>Data!D14</f>
        <v>0</v>
      </c>
      <c r="F10" s="329">
        <f>Data!E14</f>
        <v>0.17</v>
      </c>
      <c r="G10" s="334">
        <f>Data!F14</f>
        <v>0.7</v>
      </c>
      <c r="H10" s="1"/>
      <c r="I10" s="338" t="str">
        <f t="shared" si="1"/>
        <v>DI3</v>
      </c>
      <c r="J10" s="333">
        <f>Data!I14</f>
        <v>1.5</v>
      </c>
      <c r="K10" s="329">
        <f>Data!J14</f>
        <v>0</v>
      </c>
      <c r="L10" s="329">
        <f>Data!K14</f>
        <v>0</v>
      </c>
      <c r="M10" s="329">
        <f>Data!L14</f>
        <v>2</v>
      </c>
      <c r="N10" s="334">
        <f>Data!M14</f>
        <v>1</v>
      </c>
      <c r="O10" s="2"/>
      <c r="P10" s="338" t="str">
        <f t="shared" si="2"/>
        <v>DI3</v>
      </c>
      <c r="Q10" s="346">
        <f t="shared" si="3"/>
        <v>0.375</v>
      </c>
      <c r="R10" s="342">
        <f t="shared" si="4"/>
        <v>0</v>
      </c>
      <c r="S10" s="342">
        <f t="shared" si="8"/>
        <v>0</v>
      </c>
      <c r="T10" s="342">
        <f t="shared" si="5"/>
        <v>0.5</v>
      </c>
      <c r="U10" s="347">
        <f t="shared" si="6"/>
        <v>0.25</v>
      </c>
      <c r="W10" s="229" t="str">
        <f t="shared" si="7"/>
        <v>DI3</v>
      </c>
      <c r="X10" s="356">
        <f>Data!B45</f>
        <v>6250</v>
      </c>
      <c r="Y10" s="352">
        <f>Data!C45</f>
        <v>30</v>
      </c>
      <c r="Z10" s="45">
        <f t="shared" si="10"/>
        <v>60</v>
      </c>
    </row>
    <row r="11" spans="2:26" x14ac:dyDescent="0.35">
      <c r="B11" s="325" t="s">
        <v>17</v>
      </c>
      <c r="C11" s="333">
        <f>Data!B15</f>
        <v>0</v>
      </c>
      <c r="D11" s="329">
        <f>Data!C15</f>
        <v>1</v>
      </c>
      <c r="E11" s="329">
        <f>Data!D15</f>
        <v>0</v>
      </c>
      <c r="F11" s="329">
        <f>Data!E15</f>
        <v>0.25</v>
      </c>
      <c r="G11" s="334">
        <f>Data!F15</f>
        <v>0.2</v>
      </c>
      <c r="H11" s="1"/>
      <c r="I11" s="338" t="str">
        <f t="shared" si="1"/>
        <v>DI4</v>
      </c>
      <c r="J11" s="333">
        <f>Data!I15</f>
        <v>0</v>
      </c>
      <c r="K11" s="329">
        <f>Data!J15</f>
        <v>2</v>
      </c>
      <c r="L11" s="329">
        <f>Data!K15</f>
        <v>0</v>
      </c>
      <c r="M11" s="329">
        <f>Data!L15</f>
        <v>2</v>
      </c>
      <c r="N11" s="334">
        <f>Data!M15</f>
        <v>0.5</v>
      </c>
      <c r="O11" s="2"/>
      <c r="P11" s="338" t="str">
        <f t="shared" si="2"/>
        <v>DI4</v>
      </c>
      <c r="Q11" s="346">
        <f t="shared" si="3"/>
        <v>0</v>
      </c>
      <c r="R11" s="342">
        <f t="shared" si="4"/>
        <v>0.5</v>
      </c>
      <c r="S11" s="342">
        <f t="shared" si="8"/>
        <v>0</v>
      </c>
      <c r="T11" s="342">
        <f t="shared" si="5"/>
        <v>0.5</v>
      </c>
      <c r="U11" s="347">
        <f t="shared" si="6"/>
        <v>0.125</v>
      </c>
      <c r="W11" s="229" t="str">
        <f t="shared" si="7"/>
        <v>DI4</v>
      </c>
      <c r="X11" s="356">
        <f>Data!B46</f>
        <v>5000</v>
      </c>
      <c r="Y11" s="352">
        <f>Data!C46</f>
        <v>25</v>
      </c>
      <c r="Z11" s="45">
        <f t="shared" si="10"/>
        <v>50</v>
      </c>
    </row>
    <row r="12" spans="2:26" x14ac:dyDescent="0.35">
      <c r="B12" s="325" t="s">
        <v>18</v>
      </c>
      <c r="C12" s="333">
        <f>Data!B16</f>
        <v>0.2</v>
      </c>
      <c r="D12" s="329">
        <f>Data!C16</f>
        <v>0</v>
      </c>
      <c r="E12" s="329">
        <f>Data!D16</f>
        <v>0</v>
      </c>
      <c r="F12" s="329">
        <f>Data!E16</f>
        <v>0.2</v>
      </c>
      <c r="G12" s="334">
        <f>Data!F16</f>
        <v>0</v>
      </c>
      <c r="H12" s="1"/>
      <c r="I12" s="338" t="str">
        <f t="shared" si="1"/>
        <v>DI5</v>
      </c>
      <c r="J12" s="333">
        <f>Data!I16</f>
        <v>1</v>
      </c>
      <c r="K12" s="329">
        <f>Data!J16</f>
        <v>0</v>
      </c>
      <c r="L12" s="329">
        <f>Data!K16</f>
        <v>0</v>
      </c>
      <c r="M12" s="329">
        <f>Data!L16</f>
        <v>3</v>
      </c>
      <c r="N12" s="334">
        <f>Data!M16</f>
        <v>0</v>
      </c>
      <c r="O12" s="2"/>
      <c r="P12" s="338" t="str">
        <f t="shared" si="2"/>
        <v>DI5</v>
      </c>
      <c r="Q12" s="346">
        <f t="shared" si="3"/>
        <v>0.25</v>
      </c>
      <c r="R12" s="342">
        <f t="shared" si="4"/>
        <v>0</v>
      </c>
      <c r="S12" s="342">
        <f t="shared" si="8"/>
        <v>0</v>
      </c>
      <c r="T12" s="342">
        <f t="shared" si="5"/>
        <v>0.75</v>
      </c>
      <c r="U12" s="347">
        <f t="shared" si="6"/>
        <v>0</v>
      </c>
      <c r="W12" s="229" t="str">
        <f t="shared" si="7"/>
        <v>DI5</v>
      </c>
      <c r="X12" s="356">
        <f>Data!B47</f>
        <v>500</v>
      </c>
      <c r="Y12" s="352">
        <f>Data!C47</f>
        <v>15</v>
      </c>
      <c r="Z12" s="45">
        <f t="shared" si="9"/>
        <v>30</v>
      </c>
    </row>
    <row r="13" spans="2:26" x14ac:dyDescent="0.35">
      <c r="B13" s="325" t="s">
        <v>19</v>
      </c>
      <c r="C13" s="333">
        <f>Data!B17</f>
        <v>0</v>
      </c>
      <c r="D13" s="329">
        <f>Data!C17</f>
        <v>0</v>
      </c>
      <c r="E13" s="329">
        <f>Data!D17</f>
        <v>0.4</v>
      </c>
      <c r="F13" s="329">
        <f>Data!E17</f>
        <v>0</v>
      </c>
      <c r="G13" s="334">
        <f>Data!F17</f>
        <v>0.5</v>
      </c>
      <c r="H13" s="1"/>
      <c r="I13" s="338" t="str">
        <f t="shared" si="1"/>
        <v>RO1</v>
      </c>
      <c r="J13" s="333">
        <f>Data!I17</f>
        <v>0</v>
      </c>
      <c r="K13" s="329">
        <f>Data!J17</f>
        <v>0</v>
      </c>
      <c r="L13" s="329">
        <f>Data!K17</f>
        <v>1</v>
      </c>
      <c r="M13" s="329">
        <f>Data!L17</f>
        <v>0</v>
      </c>
      <c r="N13" s="334">
        <f>Data!M17</f>
        <v>2.5</v>
      </c>
      <c r="O13" s="2"/>
      <c r="P13" s="338" t="str">
        <f t="shared" si="2"/>
        <v>RO1</v>
      </c>
      <c r="Q13" s="346">
        <f t="shared" si="3"/>
        <v>0</v>
      </c>
      <c r="R13" s="342">
        <f t="shared" si="4"/>
        <v>0</v>
      </c>
      <c r="S13" s="342">
        <f t="shared" si="8"/>
        <v>0.25</v>
      </c>
      <c r="T13" s="342">
        <f t="shared" si="5"/>
        <v>0</v>
      </c>
      <c r="U13" s="347">
        <f t="shared" si="6"/>
        <v>0.625</v>
      </c>
      <c r="W13" s="229" t="str">
        <f t="shared" si="7"/>
        <v>RO1</v>
      </c>
      <c r="X13" s="356">
        <f>Data!B48</f>
        <v>8000</v>
      </c>
      <c r="Y13" s="352">
        <f>Data!C48</f>
        <v>30</v>
      </c>
      <c r="Z13" s="45">
        <f t="shared" si="9"/>
        <v>60</v>
      </c>
    </row>
    <row r="14" spans="2:26" x14ac:dyDescent="0.35">
      <c r="B14" s="325" t="s">
        <v>20</v>
      </c>
      <c r="C14" s="333">
        <f>Data!B18</f>
        <v>0</v>
      </c>
      <c r="D14" s="329">
        <f>Data!C18</f>
        <v>0</v>
      </c>
      <c r="E14" s="329">
        <f>Data!D18</f>
        <v>0.3</v>
      </c>
      <c r="F14" s="329">
        <f>Data!E18</f>
        <v>0</v>
      </c>
      <c r="G14" s="334">
        <f>Data!F18</f>
        <v>0.95</v>
      </c>
      <c r="H14" s="1"/>
      <c r="I14" s="338" t="str">
        <f t="shared" si="1"/>
        <v>RO2</v>
      </c>
      <c r="J14" s="333">
        <f>Data!I18</f>
        <v>0</v>
      </c>
      <c r="K14" s="329">
        <f>Data!J18</f>
        <v>0</v>
      </c>
      <c r="L14" s="329">
        <f>Data!K18</f>
        <v>2</v>
      </c>
      <c r="M14" s="329">
        <f>Data!L18</f>
        <v>0</v>
      </c>
      <c r="N14" s="334">
        <f>Data!M18</f>
        <v>3</v>
      </c>
      <c r="O14" s="2"/>
      <c r="P14" s="338" t="str">
        <f t="shared" si="2"/>
        <v>RO2</v>
      </c>
      <c r="Q14" s="346">
        <f t="shared" si="3"/>
        <v>0</v>
      </c>
      <c r="R14" s="342">
        <f t="shared" si="4"/>
        <v>0</v>
      </c>
      <c r="S14" s="342">
        <f t="shared" si="8"/>
        <v>0.5</v>
      </c>
      <c r="T14" s="342">
        <f t="shared" si="5"/>
        <v>0</v>
      </c>
      <c r="U14" s="347">
        <f t="shared" si="6"/>
        <v>0.75</v>
      </c>
      <c r="W14" s="229" t="str">
        <f t="shared" si="7"/>
        <v>RO2</v>
      </c>
      <c r="X14" s="356">
        <f>Data!B49</f>
        <v>500</v>
      </c>
      <c r="Y14" s="352">
        <f>Data!C49</f>
        <v>5</v>
      </c>
      <c r="Z14" s="45">
        <f t="shared" si="9"/>
        <v>10</v>
      </c>
    </row>
    <row r="15" spans="2:26" x14ac:dyDescent="0.35">
      <c r="B15" s="325" t="s">
        <v>21</v>
      </c>
      <c r="C15" s="333">
        <f>Data!B19</f>
        <v>0</v>
      </c>
      <c r="D15" s="329">
        <f>Data!C19</f>
        <v>0</v>
      </c>
      <c r="E15" s="329">
        <f>Data!D19</f>
        <v>1</v>
      </c>
      <c r="F15" s="329">
        <f>Data!E19</f>
        <v>0</v>
      </c>
      <c r="G15" s="334">
        <f>Data!F19</f>
        <v>0.98</v>
      </c>
      <c r="H15" s="1"/>
      <c r="I15" s="338" t="str">
        <f t="shared" si="1"/>
        <v>RO3</v>
      </c>
      <c r="J15" s="333">
        <f>Data!I19</f>
        <v>0</v>
      </c>
      <c r="K15" s="329">
        <f>Data!J19</f>
        <v>0</v>
      </c>
      <c r="L15" s="329">
        <f>Data!K19</f>
        <v>1</v>
      </c>
      <c r="M15" s="329">
        <f>Data!L19</f>
        <v>0</v>
      </c>
      <c r="N15" s="334">
        <f>Data!M19</f>
        <v>2.5</v>
      </c>
      <c r="O15" s="2"/>
      <c r="P15" s="338" t="str">
        <f t="shared" si="2"/>
        <v>RO3</v>
      </c>
      <c r="Q15" s="346">
        <f t="shared" si="3"/>
        <v>0</v>
      </c>
      <c r="R15" s="342">
        <f t="shared" si="4"/>
        <v>0</v>
      </c>
      <c r="S15" s="342">
        <f t="shared" si="8"/>
        <v>0.25</v>
      </c>
      <c r="T15" s="342">
        <f t="shared" si="5"/>
        <v>0</v>
      </c>
      <c r="U15" s="347">
        <f t="shared" si="6"/>
        <v>0.625</v>
      </c>
      <c r="W15" s="229" t="str">
        <f t="shared" si="7"/>
        <v>RO3</v>
      </c>
      <c r="X15" s="356">
        <f>Data!B50</f>
        <v>6500</v>
      </c>
      <c r="Y15" s="352">
        <f>Data!C50</f>
        <v>20</v>
      </c>
      <c r="Z15" s="45">
        <f t="shared" si="9"/>
        <v>40</v>
      </c>
    </row>
    <row r="16" spans="2:26" x14ac:dyDescent="0.35">
      <c r="B16" s="325" t="s">
        <v>22</v>
      </c>
      <c r="C16" s="333">
        <f>Data!B20</f>
        <v>0</v>
      </c>
      <c r="D16" s="329">
        <f>Data!C20</f>
        <v>0</v>
      </c>
      <c r="E16" s="329">
        <f>Data!D20</f>
        <v>0.2</v>
      </c>
      <c r="F16" s="329">
        <f>Data!E20</f>
        <v>0</v>
      </c>
      <c r="G16" s="334">
        <f>Data!F20</f>
        <v>1.05</v>
      </c>
      <c r="H16" s="1"/>
      <c r="I16" s="338" t="str">
        <f t="shared" si="1"/>
        <v>RO4</v>
      </c>
      <c r="J16" s="333">
        <f>Data!I20</f>
        <v>0</v>
      </c>
      <c r="K16" s="329">
        <f>Data!J20</f>
        <v>0</v>
      </c>
      <c r="L16" s="329">
        <f>Data!K20</f>
        <v>2.2000000000000002</v>
      </c>
      <c r="M16" s="329">
        <f>Data!L20</f>
        <v>0</v>
      </c>
      <c r="N16" s="334">
        <f>Data!M20</f>
        <v>3</v>
      </c>
      <c r="O16" s="2"/>
      <c r="P16" s="338" t="str">
        <f t="shared" si="2"/>
        <v>RO4</v>
      </c>
      <c r="Q16" s="346">
        <f t="shared" si="3"/>
        <v>0</v>
      </c>
      <c r="R16" s="342">
        <f t="shared" si="4"/>
        <v>0</v>
      </c>
      <c r="S16" s="342">
        <f t="shared" si="8"/>
        <v>0.55000000000000004</v>
      </c>
      <c r="T16" s="342">
        <f t="shared" si="5"/>
        <v>0</v>
      </c>
      <c r="U16" s="347">
        <f t="shared" si="6"/>
        <v>0.75</v>
      </c>
      <c r="W16" s="229" t="str">
        <f t="shared" si="7"/>
        <v>RO4</v>
      </c>
      <c r="X16" s="356">
        <f>Data!B51</f>
        <v>500</v>
      </c>
      <c r="Y16" s="352">
        <f>Data!C51</f>
        <v>10</v>
      </c>
      <c r="Z16" s="45">
        <f t="shared" si="9"/>
        <v>20</v>
      </c>
    </row>
    <row r="17" spans="1:30" x14ac:dyDescent="0.35">
      <c r="B17" s="325" t="s">
        <v>23</v>
      </c>
      <c r="C17" s="333">
        <f>Data!B21</f>
        <v>0</v>
      </c>
      <c r="D17" s="329">
        <f>Data!C21</f>
        <v>0</v>
      </c>
      <c r="E17" s="329">
        <f>Data!D21</f>
        <v>0.5</v>
      </c>
      <c r="F17" s="329">
        <f>Data!E21</f>
        <v>0</v>
      </c>
      <c r="G17" s="334">
        <f>Data!F21</f>
        <v>0.65</v>
      </c>
      <c r="H17" s="1"/>
      <c r="I17" s="338" t="str">
        <f t="shared" si="1"/>
        <v>RO5</v>
      </c>
      <c r="J17" s="333">
        <f>Data!I21</f>
        <v>0</v>
      </c>
      <c r="K17" s="329">
        <f>Data!J21</f>
        <v>0</v>
      </c>
      <c r="L17" s="329">
        <f>Data!K21</f>
        <v>2</v>
      </c>
      <c r="M17" s="329">
        <f>Data!L21</f>
        <v>0</v>
      </c>
      <c r="N17" s="334">
        <f>Data!M21</f>
        <v>4</v>
      </c>
      <c r="O17" s="2"/>
      <c r="P17" s="338" t="str">
        <f t="shared" si="2"/>
        <v>RO5</v>
      </c>
      <c r="Q17" s="346">
        <f t="shared" si="3"/>
        <v>0</v>
      </c>
      <c r="R17" s="342">
        <f t="shared" si="4"/>
        <v>0</v>
      </c>
      <c r="S17" s="342">
        <f t="shared" si="8"/>
        <v>0.5</v>
      </c>
      <c r="T17" s="342">
        <f t="shared" si="5"/>
        <v>0</v>
      </c>
      <c r="U17" s="347">
        <f t="shared" si="6"/>
        <v>1</v>
      </c>
      <c r="W17" s="229" t="str">
        <f t="shared" si="7"/>
        <v>RO5</v>
      </c>
      <c r="X17" s="356">
        <f>Data!B52</f>
        <v>10000</v>
      </c>
      <c r="Y17" s="352">
        <f>Data!C52</f>
        <v>50</v>
      </c>
      <c r="Z17" s="45">
        <f t="shared" si="9"/>
        <v>100</v>
      </c>
    </row>
    <row r="18" spans="1:30" x14ac:dyDescent="0.35">
      <c r="B18" s="325" t="s">
        <v>32</v>
      </c>
      <c r="C18" s="333">
        <f>Data!B22</f>
        <v>0.5</v>
      </c>
      <c r="D18" s="329">
        <f>Data!C22</f>
        <v>0.3</v>
      </c>
      <c r="E18" s="329">
        <f>Data!D22</f>
        <v>0</v>
      </c>
      <c r="F18" s="329">
        <f>Data!E22</f>
        <v>0</v>
      </c>
      <c r="G18" s="334">
        <f>Data!F22</f>
        <v>1.2</v>
      </c>
      <c r="H18" s="1"/>
      <c r="I18" s="338" t="str">
        <f>B18</f>
        <v>SP1</v>
      </c>
      <c r="J18" s="333">
        <f>Data!I22</f>
        <v>1.5</v>
      </c>
      <c r="K18" s="329">
        <f>Data!J22</f>
        <v>0.5</v>
      </c>
      <c r="L18" s="329">
        <f>Data!K22</f>
        <v>0</v>
      </c>
      <c r="M18" s="329">
        <f>Data!L22</f>
        <v>0</v>
      </c>
      <c r="N18" s="334">
        <f>Data!M22</f>
        <v>2</v>
      </c>
      <c r="O18" s="2"/>
      <c r="P18" s="338" t="str">
        <f>I18</f>
        <v>SP1</v>
      </c>
      <c r="Q18" s="346">
        <f t="shared" si="3"/>
        <v>0.375</v>
      </c>
      <c r="R18" s="342">
        <f t="shared" si="4"/>
        <v>0.125</v>
      </c>
      <c r="S18" s="342">
        <f t="shared" si="8"/>
        <v>0</v>
      </c>
      <c r="T18" s="342">
        <f t="shared" si="5"/>
        <v>0</v>
      </c>
      <c r="U18" s="347">
        <f t="shared" si="6"/>
        <v>0.5</v>
      </c>
      <c r="W18" s="229" t="str">
        <f t="shared" si="7"/>
        <v>SP1</v>
      </c>
      <c r="X18" s="356">
        <f>Data!B53</f>
        <v>5000</v>
      </c>
      <c r="Y18" s="352">
        <f>Data!C53</f>
        <v>25</v>
      </c>
      <c r="Z18" s="45">
        <f t="shared" si="9"/>
        <v>50</v>
      </c>
    </row>
    <row r="19" spans="1:30" x14ac:dyDescent="0.35">
      <c r="B19" s="325" t="s">
        <v>33</v>
      </c>
      <c r="C19" s="333">
        <f>Data!B23</f>
        <v>0.45</v>
      </c>
      <c r="D19" s="329">
        <f>Data!C23</f>
        <v>0.5</v>
      </c>
      <c r="E19" s="329">
        <f>Data!D23</f>
        <v>0</v>
      </c>
      <c r="F19" s="329">
        <f>Data!E23</f>
        <v>0</v>
      </c>
      <c r="G19" s="334">
        <f>Data!F23</f>
        <v>0.8</v>
      </c>
      <c r="H19" s="1"/>
      <c r="I19" s="338" t="str">
        <f t="shared" si="1"/>
        <v>SP2</v>
      </c>
      <c r="J19" s="333">
        <f>Data!I23</f>
        <v>1</v>
      </c>
      <c r="K19" s="329">
        <f>Data!J23</f>
        <v>1</v>
      </c>
      <c r="L19" s="329">
        <f>Data!K23</f>
        <v>0</v>
      </c>
      <c r="M19" s="329">
        <f>Data!L23</f>
        <v>0</v>
      </c>
      <c r="N19" s="334">
        <f>Data!M23</f>
        <v>1.5</v>
      </c>
      <c r="O19" s="2"/>
      <c r="P19" s="338" t="str">
        <f t="shared" si="2"/>
        <v>SP2</v>
      </c>
      <c r="Q19" s="346">
        <f t="shared" si="3"/>
        <v>0.25</v>
      </c>
      <c r="R19" s="342">
        <f t="shared" si="4"/>
        <v>0.25</v>
      </c>
      <c r="S19" s="342">
        <f t="shared" si="8"/>
        <v>0</v>
      </c>
      <c r="T19" s="342">
        <f t="shared" si="5"/>
        <v>0</v>
      </c>
      <c r="U19" s="347">
        <f t="shared" si="6"/>
        <v>0.375</v>
      </c>
      <c r="W19" s="229" t="str">
        <f t="shared" si="7"/>
        <v>SP2</v>
      </c>
      <c r="X19" s="356">
        <f>Data!B54</f>
        <v>7000</v>
      </c>
      <c r="Y19" s="352">
        <f>Data!C54</f>
        <v>35</v>
      </c>
      <c r="Z19" s="45">
        <f t="shared" si="9"/>
        <v>70</v>
      </c>
    </row>
    <row r="20" spans="1:30" x14ac:dyDescent="0.35">
      <c r="B20" s="325" t="s">
        <v>34</v>
      </c>
      <c r="C20" s="333">
        <f>Data!B24</f>
        <v>0.3</v>
      </c>
      <c r="D20" s="329">
        <f>Data!C24</f>
        <v>0.2</v>
      </c>
      <c r="E20" s="329">
        <f>Data!D24</f>
        <v>0</v>
      </c>
      <c r="F20" s="329">
        <f>Data!E24</f>
        <v>0</v>
      </c>
      <c r="G20" s="334">
        <f>Data!F24</f>
        <v>0.9</v>
      </c>
      <c r="H20" s="1"/>
      <c r="I20" s="338" t="str">
        <f t="shared" si="1"/>
        <v>SP3</v>
      </c>
      <c r="J20" s="333">
        <f>Data!I24</f>
        <v>1.2</v>
      </c>
      <c r="K20" s="329">
        <f>Data!J24</f>
        <v>1.5</v>
      </c>
      <c r="L20" s="329">
        <f>Data!K24</f>
        <v>0</v>
      </c>
      <c r="M20" s="329">
        <f>Data!L24</f>
        <v>0</v>
      </c>
      <c r="N20" s="334">
        <f>Data!M24</f>
        <v>1</v>
      </c>
      <c r="O20" s="2"/>
      <c r="P20" s="338" t="str">
        <f t="shared" si="2"/>
        <v>SP3</v>
      </c>
      <c r="Q20" s="346">
        <f t="shared" si="3"/>
        <v>0.3</v>
      </c>
      <c r="R20" s="342">
        <f t="shared" si="4"/>
        <v>0.375</v>
      </c>
      <c r="S20" s="342">
        <f t="shared" si="8"/>
        <v>0</v>
      </c>
      <c r="T20" s="342">
        <f t="shared" si="5"/>
        <v>0</v>
      </c>
      <c r="U20" s="347">
        <f t="shared" si="6"/>
        <v>0.25</v>
      </c>
      <c r="W20" s="229" t="str">
        <f t="shared" si="7"/>
        <v>SP3</v>
      </c>
      <c r="X20" s="356">
        <f>Data!B55</f>
        <v>2600</v>
      </c>
      <c r="Y20" s="352">
        <f>Data!C55</f>
        <v>13</v>
      </c>
      <c r="Z20" s="45">
        <f t="shared" si="9"/>
        <v>26</v>
      </c>
    </row>
    <row r="21" spans="1:30" ht="15" thickBot="1" x14ac:dyDescent="0.4">
      <c r="B21" s="326" t="s">
        <v>35</v>
      </c>
      <c r="C21" s="335">
        <f>Data!B25</f>
        <v>0.6</v>
      </c>
      <c r="D21" s="336">
        <f>Data!C25</f>
        <v>0.8</v>
      </c>
      <c r="E21" s="336">
        <f>Data!D25</f>
        <v>0</v>
      </c>
      <c r="F21" s="336">
        <f>Data!E25</f>
        <v>0</v>
      </c>
      <c r="G21" s="337">
        <f>Data!F25</f>
        <v>1.5</v>
      </c>
      <c r="H21" s="1"/>
      <c r="I21" s="339" t="str">
        <f t="shared" si="1"/>
        <v>SP4</v>
      </c>
      <c r="J21" s="335">
        <f>Data!I25</f>
        <v>2</v>
      </c>
      <c r="K21" s="336">
        <f>Data!J25</f>
        <v>2</v>
      </c>
      <c r="L21" s="336">
        <f>Data!K25</f>
        <v>0</v>
      </c>
      <c r="M21" s="336">
        <f>Data!L25</f>
        <v>0</v>
      </c>
      <c r="N21" s="337">
        <f>Data!M25</f>
        <v>2</v>
      </c>
      <c r="O21" s="2"/>
      <c r="P21" s="339" t="str">
        <f t="shared" si="2"/>
        <v>SP4</v>
      </c>
      <c r="Q21" s="348">
        <f t="shared" si="3"/>
        <v>0.5</v>
      </c>
      <c r="R21" s="349">
        <f t="shared" si="4"/>
        <v>0.5</v>
      </c>
      <c r="S21" s="349">
        <f t="shared" si="8"/>
        <v>0</v>
      </c>
      <c r="T21" s="349">
        <f t="shared" si="5"/>
        <v>0</v>
      </c>
      <c r="U21" s="350">
        <f t="shared" si="6"/>
        <v>0.5</v>
      </c>
      <c r="W21" s="231" t="str">
        <f t="shared" si="7"/>
        <v>SP4</v>
      </c>
      <c r="X21" s="357">
        <f>Data!B56</f>
        <v>2000</v>
      </c>
      <c r="Y21" s="358">
        <f>Data!C56</f>
        <v>20</v>
      </c>
      <c r="Z21" s="137">
        <f t="shared" si="9"/>
        <v>40</v>
      </c>
    </row>
    <row r="22" spans="1:30" ht="15" thickBot="1" x14ac:dyDescent="0.4"/>
    <row r="23" spans="1:30" ht="15" thickBot="1" x14ac:dyDescent="0.4">
      <c r="Q23" s="394" t="s">
        <v>113</v>
      </c>
      <c r="R23" s="395"/>
      <c r="S23" s="395"/>
      <c r="T23" s="396"/>
      <c r="W23" s="228" t="s">
        <v>31</v>
      </c>
      <c r="X23" s="227">
        <f>SUM(X4:X21)</f>
        <v>61750</v>
      </c>
      <c r="Y23" s="227">
        <f>SUM(Y4:Y21)</f>
        <v>407</v>
      </c>
      <c r="Z23" s="227">
        <f>SUM(Z4:Z21)</f>
        <v>793</v>
      </c>
    </row>
    <row r="24" spans="1:30" ht="15" customHeight="1" x14ac:dyDescent="0.35">
      <c r="Q24" s="397"/>
      <c r="R24" s="398"/>
      <c r="S24" s="398"/>
      <c r="T24" s="399"/>
    </row>
    <row r="25" spans="1:30" ht="24.75" customHeight="1" thickBot="1" x14ac:dyDescent="0.4">
      <c r="Q25" s="400"/>
      <c r="R25" s="401"/>
      <c r="S25" s="401"/>
      <c r="T25" s="402"/>
    </row>
    <row r="26" spans="1:30" ht="25.5" thickBot="1" x14ac:dyDescent="0.55000000000000004">
      <c r="A26" s="379" t="s">
        <v>62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1"/>
    </row>
    <row r="28" spans="1:30" ht="15" customHeight="1" x14ac:dyDescent="0.35">
      <c r="B28" s="2" t="s">
        <v>58</v>
      </c>
      <c r="C28" s="404" t="s">
        <v>60</v>
      </c>
      <c r="D28" s="404"/>
      <c r="E28" s="404"/>
      <c r="F28" s="404"/>
      <c r="G28" s="404"/>
      <c r="H28" s="404"/>
      <c r="I28" s="404"/>
    </row>
    <row r="29" spans="1:30" ht="40" thickBot="1" x14ac:dyDescent="0.4">
      <c r="B29" s="403" t="s">
        <v>59</v>
      </c>
      <c r="C29" s="403"/>
      <c r="D29" s="403"/>
      <c r="E29" s="403"/>
      <c r="F29" s="403"/>
      <c r="G29" s="403"/>
      <c r="J29" t="s">
        <v>65</v>
      </c>
      <c r="R29" t="s">
        <v>66</v>
      </c>
      <c r="AA29" s="304" t="s">
        <v>127</v>
      </c>
      <c r="AB29" s="43" t="s">
        <v>43</v>
      </c>
      <c r="AC29" s="43" t="s">
        <v>29</v>
      </c>
      <c r="AD29" s="43" t="s">
        <v>30</v>
      </c>
    </row>
    <row r="30" spans="1:30" ht="26.5" thickBot="1" x14ac:dyDescent="0.4">
      <c r="B30" s="42"/>
      <c r="C30" s="320" t="s">
        <v>5</v>
      </c>
      <c r="D30" s="320" t="s">
        <v>6</v>
      </c>
      <c r="E30" s="320" t="s">
        <v>8</v>
      </c>
      <c r="F30" s="320" t="s">
        <v>90</v>
      </c>
      <c r="G30" s="320" t="s">
        <v>7</v>
      </c>
      <c r="H30" s="321" t="s">
        <v>9</v>
      </c>
      <c r="J30" s="42"/>
      <c r="K30" s="320" t="s">
        <v>5</v>
      </c>
      <c r="L30" s="320" t="s">
        <v>6</v>
      </c>
      <c r="M30" s="320" t="s">
        <v>8</v>
      </c>
      <c r="N30" s="320" t="s">
        <v>90</v>
      </c>
      <c r="O30" s="320" t="s">
        <v>7</v>
      </c>
      <c r="P30" s="321" t="s">
        <v>9</v>
      </c>
      <c r="R30" s="42"/>
      <c r="S30" s="24" t="s">
        <v>5</v>
      </c>
      <c r="T30" s="24" t="s">
        <v>6</v>
      </c>
      <c r="U30" s="24" t="s">
        <v>8</v>
      </c>
      <c r="V30" s="24" t="s">
        <v>91</v>
      </c>
      <c r="W30" s="24" t="s">
        <v>7</v>
      </c>
      <c r="X30" s="25" t="s">
        <v>28</v>
      </c>
      <c r="AA30" s="282" t="s">
        <v>42</v>
      </c>
      <c r="AB30" s="285" t="s">
        <v>45</v>
      </c>
      <c r="AC30" s="285" t="s">
        <v>44</v>
      </c>
      <c r="AD30" s="6" t="s">
        <v>44</v>
      </c>
    </row>
    <row r="31" spans="1:30" x14ac:dyDescent="0.35">
      <c r="B31" s="316" t="s">
        <v>14</v>
      </c>
      <c r="C31" s="207">
        <f>'ROC King'!L31</f>
        <v>1</v>
      </c>
      <c r="D31" s="208">
        <f>'ROC King'!M31</f>
        <v>1</v>
      </c>
      <c r="E31" s="208">
        <f>'ROC King'!N31</f>
        <v>1</v>
      </c>
      <c r="F31" s="208">
        <f>'ROC King'!O31</f>
        <v>1</v>
      </c>
      <c r="G31" s="322">
        <f>'ROC King'!P31</f>
        <v>0</v>
      </c>
      <c r="H31" s="148">
        <f>'ROC King'!Q31</f>
        <v>0</v>
      </c>
      <c r="J31" s="316" t="s">
        <v>14</v>
      </c>
      <c r="K31" s="207">
        <f>VLOOKUP($J31,$B$4:$G$21,2,FALSE)</f>
        <v>0.2</v>
      </c>
      <c r="L31" s="208">
        <f>VLOOKUP($J31,$B$4:$G$21,3,FALSE)</f>
        <v>0.2</v>
      </c>
      <c r="M31" s="208">
        <f>VLOOKUP($J31,$B$4:$G$21,5,FALSE)</f>
        <v>0.15</v>
      </c>
      <c r="N31" s="208">
        <f>VLOOKUP($J31,$B$4:$G$21,6,FALSE)</f>
        <v>0.5</v>
      </c>
      <c r="O31" s="322">
        <v>0</v>
      </c>
      <c r="P31" s="148">
        <v>0</v>
      </c>
      <c r="R31" s="28" t="s">
        <v>14</v>
      </c>
      <c r="S31" s="35">
        <f>Q8</f>
        <v>0.5</v>
      </c>
      <c r="T31" s="35">
        <f>R8</f>
        <v>0.375</v>
      </c>
      <c r="U31" s="35">
        <f>T8</f>
        <v>0.5</v>
      </c>
      <c r="V31" s="35">
        <f>U8</f>
        <v>0.25</v>
      </c>
      <c r="W31" s="31"/>
      <c r="X31" s="134"/>
      <c r="AA31" s="283" t="str">
        <f>W8</f>
        <v>DI1</v>
      </c>
      <c r="AB31" s="233">
        <f>VLOOKUP($AA31,$W$4:$Z$21,2,FALSE)</f>
        <v>2500</v>
      </c>
      <c r="AC31" s="233">
        <f>VLOOKUP($AA31,$W$4:$Z$21,3,FALSE)</f>
        <v>40</v>
      </c>
      <c r="AD31" s="45">
        <f t="shared" ref="AD31:AD32" si="11">AC31*2</f>
        <v>80</v>
      </c>
    </row>
    <row r="32" spans="1:30" x14ac:dyDescent="0.35">
      <c r="B32" s="316" t="s">
        <v>15</v>
      </c>
      <c r="C32" s="210">
        <f>'ROC King'!L32</f>
        <v>1</v>
      </c>
      <c r="D32" s="35">
        <f>'ROC King'!M32</f>
        <v>1</v>
      </c>
      <c r="E32" s="35">
        <f>'ROC King'!N32</f>
        <v>1</v>
      </c>
      <c r="F32" s="35">
        <f>'ROC King'!O32</f>
        <v>1</v>
      </c>
      <c r="G32" s="31">
        <f>'ROC King'!P32</f>
        <v>0</v>
      </c>
      <c r="H32" s="32">
        <f>'ROC King'!Q32</f>
        <v>0</v>
      </c>
      <c r="J32" s="316" t="s">
        <v>15</v>
      </c>
      <c r="K32" s="210">
        <f t="shared" ref="K32:K43" si="12">VLOOKUP($J32,$B$4:$G$21,2,FALSE)</f>
        <v>0.2</v>
      </c>
      <c r="L32" s="35">
        <f t="shared" ref="L32:L43" si="13">VLOOKUP($J32,$B$4:$G$21,3,FALSE)</f>
        <v>0.4</v>
      </c>
      <c r="M32" s="35">
        <f t="shared" ref="M32:M43" si="14">VLOOKUP($J32,$B$4:$G$21,5,FALSE)</f>
        <v>0.14000000000000001</v>
      </c>
      <c r="N32" s="35">
        <f t="shared" ref="N32:N43" si="15">VLOOKUP($J32,$B$4:$G$21,6,FALSE)</f>
        <v>1</v>
      </c>
      <c r="O32" s="31">
        <v>0</v>
      </c>
      <c r="P32" s="32">
        <v>0</v>
      </c>
      <c r="R32" s="28" t="s">
        <v>15</v>
      </c>
      <c r="S32" s="35">
        <f>Q9</f>
        <v>0.375</v>
      </c>
      <c r="T32" s="35">
        <f>R9</f>
        <v>0.25</v>
      </c>
      <c r="U32" s="35">
        <f>T9</f>
        <v>0.75</v>
      </c>
      <c r="V32" s="35">
        <f>U9</f>
        <v>0.125</v>
      </c>
      <c r="W32" s="31"/>
      <c r="X32" s="134"/>
      <c r="AA32" s="283" t="str">
        <f>W9</f>
        <v>DI2</v>
      </c>
      <c r="AB32" s="233">
        <f t="shared" ref="AB32:AB48" si="16">VLOOKUP($AA32,$W$4:$Z$21,2,FALSE)</f>
        <v>3400</v>
      </c>
      <c r="AC32" s="233">
        <f t="shared" ref="AC32:AC48" si="17">VLOOKUP($AA32,$W$4:$Z$21,3,FALSE)</f>
        <v>40</v>
      </c>
      <c r="AD32" s="45">
        <f t="shared" si="11"/>
        <v>80</v>
      </c>
    </row>
    <row r="33" spans="2:30" x14ac:dyDescent="0.35">
      <c r="B33" s="316" t="s">
        <v>12</v>
      </c>
      <c r="C33" s="210">
        <f>'ROC King'!L33</f>
        <v>1</v>
      </c>
      <c r="D33" s="35">
        <f>'ROC King'!M33</f>
        <v>1</v>
      </c>
      <c r="E33" s="35">
        <f>'ROC King'!N33</f>
        <v>1</v>
      </c>
      <c r="F33" s="35">
        <f>'ROC King'!O33</f>
        <v>0</v>
      </c>
      <c r="G33" s="31">
        <f>'ROC King'!P33</f>
        <v>0</v>
      </c>
      <c r="H33" s="32">
        <f>'ROC King'!Q33</f>
        <v>0</v>
      </c>
      <c r="J33" s="316" t="s">
        <v>12</v>
      </c>
      <c r="K33" s="210">
        <f t="shared" si="12"/>
        <v>0.4</v>
      </c>
      <c r="L33" s="35">
        <f t="shared" si="13"/>
        <v>0.5</v>
      </c>
      <c r="M33" s="35">
        <f t="shared" si="14"/>
        <v>0.65</v>
      </c>
      <c r="N33" s="35">
        <f t="shared" si="15"/>
        <v>0</v>
      </c>
      <c r="O33" s="31">
        <v>0</v>
      </c>
      <c r="P33" s="32">
        <v>0</v>
      </c>
      <c r="R33" s="28" t="s">
        <v>12</v>
      </c>
      <c r="S33" s="38">
        <f>Q6</f>
        <v>0.5</v>
      </c>
      <c r="T33" s="38">
        <f>R6</f>
        <v>0.75</v>
      </c>
      <c r="U33" s="38">
        <f>T6</f>
        <v>0.625</v>
      </c>
      <c r="V33" s="35">
        <f>U6</f>
        <v>0</v>
      </c>
      <c r="W33" s="31"/>
      <c r="X33" s="134"/>
      <c r="AA33" s="283" t="str">
        <f>W6</f>
        <v>PZ3</v>
      </c>
      <c r="AB33" s="233">
        <f t="shared" si="16"/>
        <v>500</v>
      </c>
      <c r="AC33" s="233">
        <f t="shared" si="17"/>
        <v>18</v>
      </c>
      <c r="AD33" s="45">
        <f>AC33*2</f>
        <v>36</v>
      </c>
    </row>
    <row r="34" spans="2:30" x14ac:dyDescent="0.35">
      <c r="B34" s="316" t="s">
        <v>32</v>
      </c>
      <c r="C34" s="210">
        <f>'ROC King'!L34</f>
        <v>1</v>
      </c>
      <c r="D34" s="35">
        <f>'ROC King'!M34</f>
        <v>1</v>
      </c>
      <c r="E34" s="35">
        <f>'ROC King'!N34</f>
        <v>0</v>
      </c>
      <c r="F34" s="35">
        <f>'ROC King'!O34</f>
        <v>1</v>
      </c>
      <c r="G34" s="31">
        <f>'ROC King'!P34</f>
        <v>0</v>
      </c>
      <c r="H34" s="32">
        <f>'ROC King'!Q34</f>
        <v>0</v>
      </c>
      <c r="J34" s="316" t="s">
        <v>32</v>
      </c>
      <c r="K34" s="210">
        <f t="shared" si="12"/>
        <v>0.5</v>
      </c>
      <c r="L34" s="35">
        <f t="shared" si="13"/>
        <v>0.3</v>
      </c>
      <c r="M34" s="35">
        <f t="shared" si="14"/>
        <v>0</v>
      </c>
      <c r="N34" s="35">
        <f t="shared" si="15"/>
        <v>1.2</v>
      </c>
      <c r="O34" s="31">
        <v>0</v>
      </c>
      <c r="P34" s="32">
        <v>0</v>
      </c>
      <c r="R34" s="28" t="s">
        <v>32</v>
      </c>
      <c r="S34" s="35">
        <f>Q18</f>
        <v>0.375</v>
      </c>
      <c r="T34" s="35">
        <f>R18</f>
        <v>0.125</v>
      </c>
      <c r="U34" s="35">
        <f t="shared" ref="U34:V37" si="18">T18</f>
        <v>0</v>
      </c>
      <c r="V34" s="35">
        <f t="shared" si="18"/>
        <v>0.5</v>
      </c>
      <c r="W34" s="31"/>
      <c r="X34" s="134"/>
      <c r="AA34" s="283" t="str">
        <f>W18</f>
        <v>SP1</v>
      </c>
      <c r="AB34" s="233">
        <f t="shared" si="16"/>
        <v>5000</v>
      </c>
      <c r="AC34" s="233">
        <f t="shared" si="17"/>
        <v>25</v>
      </c>
      <c r="AD34" s="45">
        <f t="shared" ref="AD34:AD39" si="19">AC34*2</f>
        <v>50</v>
      </c>
    </row>
    <row r="35" spans="2:30" x14ac:dyDescent="0.35">
      <c r="B35" s="316" t="s">
        <v>33</v>
      </c>
      <c r="C35" s="210">
        <f>'ROC King'!L35</f>
        <v>1</v>
      </c>
      <c r="D35" s="35">
        <f>'ROC King'!M35</f>
        <v>1</v>
      </c>
      <c r="E35" s="35">
        <f>'ROC King'!N35</f>
        <v>0</v>
      </c>
      <c r="F35" s="35">
        <f>'ROC King'!O35</f>
        <v>1</v>
      </c>
      <c r="G35" s="31">
        <f>'ROC King'!P35</f>
        <v>0</v>
      </c>
      <c r="H35" s="32">
        <f>'ROC King'!Q35</f>
        <v>0</v>
      </c>
      <c r="J35" s="316" t="s">
        <v>33</v>
      </c>
      <c r="K35" s="210">
        <f t="shared" si="12"/>
        <v>0.45</v>
      </c>
      <c r="L35" s="35">
        <f t="shared" si="13"/>
        <v>0.5</v>
      </c>
      <c r="M35" s="35">
        <f t="shared" si="14"/>
        <v>0</v>
      </c>
      <c r="N35" s="35">
        <f t="shared" si="15"/>
        <v>0.8</v>
      </c>
      <c r="O35" s="31">
        <v>0</v>
      </c>
      <c r="P35" s="32">
        <v>0</v>
      </c>
      <c r="R35" s="28" t="s">
        <v>33</v>
      </c>
      <c r="S35" s="35">
        <f t="shared" ref="S35:T37" si="20">Q19</f>
        <v>0.25</v>
      </c>
      <c r="T35" s="35">
        <f t="shared" si="20"/>
        <v>0.25</v>
      </c>
      <c r="U35" s="35">
        <f t="shared" si="18"/>
        <v>0</v>
      </c>
      <c r="V35" s="35">
        <f t="shared" si="18"/>
        <v>0.375</v>
      </c>
      <c r="W35" s="31"/>
      <c r="X35" s="134"/>
      <c r="AA35" s="283" t="str">
        <f>W19</f>
        <v>SP2</v>
      </c>
      <c r="AB35" s="233">
        <f t="shared" si="16"/>
        <v>7000</v>
      </c>
      <c r="AC35" s="233">
        <f t="shared" si="17"/>
        <v>35</v>
      </c>
      <c r="AD35" s="45">
        <f t="shared" si="19"/>
        <v>70</v>
      </c>
    </row>
    <row r="36" spans="2:30" x14ac:dyDescent="0.35">
      <c r="B36" s="316" t="s">
        <v>34</v>
      </c>
      <c r="C36" s="210">
        <f>'ROC King'!L36</f>
        <v>1</v>
      </c>
      <c r="D36" s="35">
        <f>'ROC King'!M36</f>
        <v>1</v>
      </c>
      <c r="E36" s="35">
        <f>'ROC King'!N36</f>
        <v>0</v>
      </c>
      <c r="F36" s="35">
        <f>'ROC King'!O36</f>
        <v>1</v>
      </c>
      <c r="G36" s="31">
        <f>'ROC King'!P36</f>
        <v>0</v>
      </c>
      <c r="H36" s="32">
        <f>'ROC King'!Q36</f>
        <v>0</v>
      </c>
      <c r="J36" s="316" t="s">
        <v>34</v>
      </c>
      <c r="K36" s="210">
        <f t="shared" si="12"/>
        <v>0.3</v>
      </c>
      <c r="L36" s="35">
        <f t="shared" si="13"/>
        <v>0.2</v>
      </c>
      <c r="M36" s="35">
        <f t="shared" si="14"/>
        <v>0</v>
      </c>
      <c r="N36" s="35">
        <f t="shared" si="15"/>
        <v>0.9</v>
      </c>
      <c r="O36" s="31">
        <v>0</v>
      </c>
      <c r="P36" s="32">
        <v>0</v>
      </c>
      <c r="R36" s="28" t="s">
        <v>34</v>
      </c>
      <c r="S36" s="35">
        <f t="shared" si="20"/>
        <v>0.3</v>
      </c>
      <c r="T36" s="35">
        <f t="shared" si="20"/>
        <v>0.375</v>
      </c>
      <c r="U36" s="35">
        <f t="shared" si="18"/>
        <v>0</v>
      </c>
      <c r="V36" s="35">
        <f t="shared" si="18"/>
        <v>0.25</v>
      </c>
      <c r="W36" s="31"/>
      <c r="X36" s="134"/>
      <c r="AA36" s="283" t="str">
        <f>W20</f>
        <v>SP3</v>
      </c>
      <c r="AB36" s="233">
        <f t="shared" si="16"/>
        <v>2600</v>
      </c>
      <c r="AC36" s="233">
        <f t="shared" si="17"/>
        <v>13</v>
      </c>
      <c r="AD36" s="45">
        <f t="shared" si="19"/>
        <v>26</v>
      </c>
    </row>
    <row r="37" spans="2:30" x14ac:dyDescent="0.35">
      <c r="B37" s="316" t="s">
        <v>35</v>
      </c>
      <c r="C37" s="210">
        <f>'ROC King'!L37</f>
        <v>1</v>
      </c>
      <c r="D37" s="35">
        <f>'ROC King'!M37</f>
        <v>1</v>
      </c>
      <c r="E37" s="35">
        <f>'ROC King'!N37</f>
        <v>0</v>
      </c>
      <c r="F37" s="35">
        <f>'ROC King'!O37</f>
        <v>1</v>
      </c>
      <c r="G37" s="31">
        <f>'ROC King'!P37</f>
        <v>0</v>
      </c>
      <c r="H37" s="32">
        <f>'ROC King'!Q37</f>
        <v>0</v>
      </c>
      <c r="J37" s="316" t="s">
        <v>35</v>
      </c>
      <c r="K37" s="210">
        <f t="shared" si="12"/>
        <v>0.6</v>
      </c>
      <c r="L37" s="35">
        <f t="shared" si="13"/>
        <v>0.8</v>
      </c>
      <c r="M37" s="35">
        <f t="shared" si="14"/>
        <v>0</v>
      </c>
      <c r="N37" s="35">
        <f t="shared" si="15"/>
        <v>1.5</v>
      </c>
      <c r="O37" s="31">
        <v>0</v>
      </c>
      <c r="P37" s="32">
        <v>0</v>
      </c>
      <c r="R37" s="28" t="s">
        <v>35</v>
      </c>
      <c r="S37" s="35">
        <f t="shared" si="20"/>
        <v>0.5</v>
      </c>
      <c r="T37" s="35">
        <f t="shared" si="20"/>
        <v>0.5</v>
      </c>
      <c r="U37" s="35">
        <f t="shared" si="18"/>
        <v>0</v>
      </c>
      <c r="V37" s="35">
        <f t="shared" si="18"/>
        <v>0.5</v>
      </c>
      <c r="W37" s="31"/>
      <c r="X37" s="134"/>
      <c r="AA37" s="283" t="str">
        <f>W21</f>
        <v>SP4</v>
      </c>
      <c r="AB37" s="233">
        <f t="shared" si="16"/>
        <v>2000</v>
      </c>
      <c r="AC37" s="233">
        <f t="shared" si="17"/>
        <v>20</v>
      </c>
      <c r="AD37" s="45">
        <f t="shared" si="19"/>
        <v>40</v>
      </c>
    </row>
    <row r="38" spans="2:30" x14ac:dyDescent="0.35">
      <c r="B38" s="317" t="s">
        <v>10</v>
      </c>
      <c r="C38" s="210">
        <f>'ROC King'!L38</f>
        <v>1</v>
      </c>
      <c r="D38" s="35">
        <f>'ROC King'!M38</f>
        <v>1</v>
      </c>
      <c r="E38" s="35">
        <f>'ROC King'!N38</f>
        <v>0</v>
      </c>
      <c r="F38" s="35">
        <f>'ROC King'!O38</f>
        <v>0</v>
      </c>
      <c r="G38" s="31">
        <f>'ROC King'!P38</f>
        <v>0</v>
      </c>
      <c r="H38" s="32">
        <f>'ROC King'!Q38</f>
        <v>0</v>
      </c>
      <c r="J38" s="317" t="s">
        <v>10</v>
      </c>
      <c r="K38" s="210">
        <f t="shared" si="12"/>
        <v>0.55000000000000004</v>
      </c>
      <c r="L38" s="35">
        <f t="shared" si="13"/>
        <v>1.25</v>
      </c>
      <c r="M38" s="35">
        <f t="shared" si="14"/>
        <v>0</v>
      </c>
      <c r="N38" s="35">
        <f t="shared" si="15"/>
        <v>0</v>
      </c>
      <c r="O38" s="31">
        <v>0</v>
      </c>
      <c r="P38" s="32">
        <v>0</v>
      </c>
      <c r="R38" s="26" t="s">
        <v>10</v>
      </c>
      <c r="S38" s="38">
        <f>Q4</f>
        <v>0.75</v>
      </c>
      <c r="T38" s="38">
        <f>R4</f>
        <v>0.75</v>
      </c>
      <c r="U38" s="38">
        <f>T4</f>
        <v>0</v>
      </c>
      <c r="V38" s="35">
        <f>U4</f>
        <v>0</v>
      </c>
      <c r="W38" s="31"/>
      <c r="X38" s="134"/>
      <c r="AA38" s="283" t="str">
        <f>W4</f>
        <v>PZ1</v>
      </c>
      <c r="AB38" s="233">
        <f t="shared" si="16"/>
        <v>500</v>
      </c>
      <c r="AC38" s="233">
        <f t="shared" si="17"/>
        <v>10</v>
      </c>
      <c r="AD38" s="45">
        <f t="shared" si="19"/>
        <v>20</v>
      </c>
    </row>
    <row r="39" spans="2:30" x14ac:dyDescent="0.35">
      <c r="B39" s="316" t="s">
        <v>16</v>
      </c>
      <c r="C39" s="210">
        <f>'ROC King'!L39</f>
        <v>1</v>
      </c>
      <c r="D39" s="35">
        <f>'ROC King'!M39</f>
        <v>0</v>
      </c>
      <c r="E39" s="35">
        <f>'ROC King'!N39</f>
        <v>1</v>
      </c>
      <c r="F39" s="35">
        <f>'ROC King'!O39</f>
        <v>0</v>
      </c>
      <c r="G39" s="31">
        <f>'ROC King'!P39</f>
        <v>0</v>
      </c>
      <c r="H39" s="32">
        <f>'ROC King'!Q39</f>
        <v>0</v>
      </c>
      <c r="J39" s="316" t="s">
        <v>16</v>
      </c>
      <c r="K39" s="210">
        <f t="shared" si="12"/>
        <v>0.3</v>
      </c>
      <c r="L39" s="35">
        <f t="shared" si="13"/>
        <v>0</v>
      </c>
      <c r="M39" s="35">
        <f t="shared" si="14"/>
        <v>0.17</v>
      </c>
      <c r="N39" s="35">
        <f t="shared" si="15"/>
        <v>0.7</v>
      </c>
      <c r="O39" s="31">
        <v>0</v>
      </c>
      <c r="P39" s="32">
        <v>0</v>
      </c>
      <c r="R39" s="28" t="s">
        <v>16</v>
      </c>
      <c r="S39" s="35">
        <f>Q10</f>
        <v>0.375</v>
      </c>
      <c r="T39" s="35">
        <f>R10</f>
        <v>0</v>
      </c>
      <c r="U39" s="35">
        <f>T10</f>
        <v>0.5</v>
      </c>
      <c r="V39" s="35">
        <f>U10</f>
        <v>0.25</v>
      </c>
      <c r="W39" s="31"/>
      <c r="X39" s="134"/>
      <c r="AA39" s="283" t="str">
        <f>W10</f>
        <v>DI3</v>
      </c>
      <c r="AB39" s="233">
        <f t="shared" si="16"/>
        <v>6250</v>
      </c>
      <c r="AC39" s="233">
        <f t="shared" si="17"/>
        <v>30</v>
      </c>
      <c r="AD39" s="45">
        <f t="shared" si="19"/>
        <v>60</v>
      </c>
    </row>
    <row r="40" spans="2:30" x14ac:dyDescent="0.35">
      <c r="B40" s="316" t="s">
        <v>11</v>
      </c>
      <c r="C40" s="210">
        <f>'ROC King'!L40</f>
        <v>1</v>
      </c>
      <c r="D40" s="35">
        <f>'ROC King'!M40</f>
        <v>0</v>
      </c>
      <c r="E40" s="35">
        <f>'ROC King'!N40</f>
        <v>1</v>
      </c>
      <c r="F40" s="35">
        <f>'ROC King'!O40</f>
        <v>0</v>
      </c>
      <c r="G40" s="39">
        <f>'ROC King'!P40</f>
        <v>1</v>
      </c>
      <c r="H40" s="32">
        <f>'ROC King'!Q40</f>
        <v>0</v>
      </c>
      <c r="J40" s="316" t="s">
        <v>11</v>
      </c>
      <c r="K40" s="210">
        <f t="shared" si="12"/>
        <v>0.25</v>
      </c>
      <c r="L40" s="35">
        <f t="shared" si="13"/>
        <v>0</v>
      </c>
      <c r="M40" s="35">
        <f t="shared" si="14"/>
        <v>0.2</v>
      </c>
      <c r="N40" s="35">
        <f t="shared" si="15"/>
        <v>0</v>
      </c>
      <c r="O40" s="40">
        <f>E5</f>
        <v>0.5</v>
      </c>
      <c r="P40" s="32">
        <v>0</v>
      </c>
      <c r="R40" s="28" t="s">
        <v>11</v>
      </c>
      <c r="S40" s="38">
        <f>Q5</f>
        <v>0.375</v>
      </c>
      <c r="T40" s="38">
        <f>R5</f>
        <v>0</v>
      </c>
      <c r="U40" s="38">
        <f>T5</f>
        <v>0.5</v>
      </c>
      <c r="V40" s="35">
        <f>U5</f>
        <v>0</v>
      </c>
      <c r="W40" s="40">
        <f>S5</f>
        <v>3</v>
      </c>
      <c r="X40" s="134"/>
      <c r="AA40" s="283" t="str">
        <f>W5</f>
        <v>PZ2</v>
      </c>
      <c r="AB40" s="232">
        <f t="shared" si="16"/>
        <v>500</v>
      </c>
      <c r="AC40" s="232">
        <f t="shared" si="17"/>
        <v>12</v>
      </c>
      <c r="AD40" s="44">
        <f>AC40</f>
        <v>12</v>
      </c>
    </row>
    <row r="41" spans="2:30" x14ac:dyDescent="0.35">
      <c r="B41" s="316" t="s">
        <v>13</v>
      </c>
      <c r="C41" s="210">
        <f>'ROC King'!L41</f>
        <v>1</v>
      </c>
      <c r="D41" s="35">
        <f>'ROC King'!M41</f>
        <v>0</v>
      </c>
      <c r="E41" s="35">
        <f>'ROC King'!N41</f>
        <v>1</v>
      </c>
      <c r="F41" s="35">
        <f>'ROC King'!O41</f>
        <v>1</v>
      </c>
      <c r="G41" s="39">
        <f>'ROC King'!P41</f>
        <v>1</v>
      </c>
      <c r="H41" s="32">
        <f>'ROC King'!Q41</f>
        <v>0</v>
      </c>
      <c r="J41" s="316" t="s">
        <v>13</v>
      </c>
      <c r="K41" s="210">
        <f t="shared" si="12"/>
        <v>0.4</v>
      </c>
      <c r="L41" s="35">
        <f t="shared" si="13"/>
        <v>0</v>
      </c>
      <c r="M41" s="35">
        <f t="shared" si="14"/>
        <v>0.35</v>
      </c>
      <c r="N41" s="35">
        <f t="shared" si="15"/>
        <v>0</v>
      </c>
      <c r="O41" s="40">
        <f>E7</f>
        <v>1.25</v>
      </c>
      <c r="P41" s="32">
        <v>0</v>
      </c>
      <c r="R41" s="28" t="s">
        <v>13</v>
      </c>
      <c r="S41" s="38">
        <f>Q7</f>
        <v>0.5</v>
      </c>
      <c r="T41" s="38">
        <f>R7</f>
        <v>0</v>
      </c>
      <c r="U41" s="38">
        <f>T7</f>
        <v>0.75</v>
      </c>
      <c r="V41" s="35">
        <f>U7</f>
        <v>0</v>
      </c>
      <c r="W41" s="40">
        <f>S7</f>
        <v>5.5</v>
      </c>
      <c r="X41" s="134"/>
      <c r="AA41" s="283" t="str">
        <f>W7</f>
        <v>PZ4</v>
      </c>
      <c r="AB41" s="232">
        <f t="shared" si="16"/>
        <v>500</v>
      </c>
      <c r="AC41" s="232">
        <f t="shared" si="17"/>
        <v>9</v>
      </c>
      <c r="AD41" s="44">
        <f>AC41</f>
        <v>9</v>
      </c>
    </row>
    <row r="42" spans="2:30" x14ac:dyDescent="0.35">
      <c r="B42" s="316" t="s">
        <v>18</v>
      </c>
      <c r="C42" s="210">
        <f>'ROC King'!L42</f>
        <v>1</v>
      </c>
      <c r="D42" s="35">
        <f>'ROC King'!M42</f>
        <v>0</v>
      </c>
      <c r="E42" s="35">
        <f>'ROC King'!N42</f>
        <v>1</v>
      </c>
      <c r="F42" s="35">
        <f>'ROC King'!O42</f>
        <v>0</v>
      </c>
      <c r="G42" s="31">
        <f>'ROC King'!P42</f>
        <v>0</v>
      </c>
      <c r="H42" s="32">
        <f>'ROC King'!Q42</f>
        <v>0</v>
      </c>
      <c r="J42" s="316" t="s">
        <v>18</v>
      </c>
      <c r="K42" s="210">
        <f t="shared" si="12"/>
        <v>0.2</v>
      </c>
      <c r="L42" s="35">
        <f t="shared" si="13"/>
        <v>0</v>
      </c>
      <c r="M42" s="35">
        <f t="shared" si="14"/>
        <v>0.2</v>
      </c>
      <c r="N42" s="35">
        <f t="shared" si="15"/>
        <v>0</v>
      </c>
      <c r="O42" s="31">
        <v>0</v>
      </c>
      <c r="P42" s="32">
        <v>0</v>
      </c>
      <c r="R42" s="28" t="s">
        <v>18</v>
      </c>
      <c r="S42" s="35">
        <f>Q12</f>
        <v>0.25</v>
      </c>
      <c r="T42" s="35">
        <f>R12</f>
        <v>0</v>
      </c>
      <c r="U42" s="35">
        <f>T12</f>
        <v>0.75</v>
      </c>
      <c r="V42" s="35">
        <f>U12</f>
        <v>0</v>
      </c>
      <c r="W42" s="31"/>
      <c r="X42" s="134"/>
      <c r="AA42" s="283" t="str">
        <f>W12</f>
        <v>DI5</v>
      </c>
      <c r="AB42" s="233">
        <f t="shared" si="16"/>
        <v>500</v>
      </c>
      <c r="AC42" s="233">
        <f t="shared" si="17"/>
        <v>15</v>
      </c>
      <c r="AD42" s="45">
        <f t="shared" ref="AD42:AD48" si="21">AC42*2</f>
        <v>30</v>
      </c>
    </row>
    <row r="43" spans="2:30" x14ac:dyDescent="0.35">
      <c r="B43" s="316" t="s">
        <v>17</v>
      </c>
      <c r="C43" s="210">
        <f>'ROC King'!L43</f>
        <v>0</v>
      </c>
      <c r="D43" s="35">
        <f>'ROC King'!M43</f>
        <v>1</v>
      </c>
      <c r="E43" s="35">
        <f>'ROC King'!N43</f>
        <v>1</v>
      </c>
      <c r="F43" s="35">
        <f>'ROC King'!O43</f>
        <v>1</v>
      </c>
      <c r="G43" s="31">
        <f>'ROC King'!P43</f>
        <v>0</v>
      </c>
      <c r="H43" s="32">
        <f>'ROC King'!Q43</f>
        <v>0</v>
      </c>
      <c r="J43" s="316" t="s">
        <v>17</v>
      </c>
      <c r="K43" s="210">
        <f t="shared" si="12"/>
        <v>0</v>
      </c>
      <c r="L43" s="35">
        <f t="shared" si="13"/>
        <v>1</v>
      </c>
      <c r="M43" s="35">
        <f t="shared" si="14"/>
        <v>0.25</v>
      </c>
      <c r="N43" s="35">
        <f t="shared" si="15"/>
        <v>0.2</v>
      </c>
      <c r="O43" s="31">
        <v>0</v>
      </c>
      <c r="P43" s="32">
        <v>0</v>
      </c>
      <c r="R43" s="28" t="s">
        <v>17</v>
      </c>
      <c r="S43" s="35">
        <f>Q11</f>
        <v>0</v>
      </c>
      <c r="T43" s="35">
        <f>R11</f>
        <v>0.5</v>
      </c>
      <c r="U43" s="35">
        <f>T11</f>
        <v>0.5</v>
      </c>
      <c r="V43" s="35">
        <f>U11</f>
        <v>0.125</v>
      </c>
      <c r="W43" s="31"/>
      <c r="X43" s="134"/>
      <c r="AA43" s="283" t="str">
        <f>W11</f>
        <v>DI4</v>
      </c>
      <c r="AB43" s="233">
        <f t="shared" si="16"/>
        <v>5000</v>
      </c>
      <c r="AC43" s="233">
        <f t="shared" si="17"/>
        <v>25</v>
      </c>
      <c r="AD43" s="45">
        <f t="shared" si="21"/>
        <v>50</v>
      </c>
    </row>
    <row r="44" spans="2:30" x14ac:dyDescent="0.35">
      <c r="B44" s="316" t="s">
        <v>19</v>
      </c>
      <c r="C44" s="211">
        <f>'ROC King'!L44</f>
        <v>0</v>
      </c>
      <c r="D44" s="31">
        <f>'ROC King'!M44</f>
        <v>0</v>
      </c>
      <c r="E44" s="31">
        <f>'ROC King'!N44</f>
        <v>0</v>
      </c>
      <c r="F44" s="31">
        <f>'ROC King'!O44</f>
        <v>0</v>
      </c>
      <c r="G44" s="35">
        <f>'ROC King'!P44</f>
        <v>1</v>
      </c>
      <c r="H44" s="34">
        <f>'ROC King'!Q44</f>
        <v>1</v>
      </c>
      <c r="J44" s="316" t="s">
        <v>19</v>
      </c>
      <c r="K44" s="211">
        <v>0</v>
      </c>
      <c r="L44" s="31">
        <v>0</v>
      </c>
      <c r="M44" s="31">
        <v>0</v>
      </c>
      <c r="N44" s="31">
        <v>0</v>
      </c>
      <c r="O44" s="35">
        <f>VLOOKUP($J44,$B$4:$G$21,4,FALSE)</f>
        <v>0.4</v>
      </c>
      <c r="P44" s="34">
        <f>VLOOKUP($J44,$B$4:$G$21,6,FALSE)</f>
        <v>0.5</v>
      </c>
      <c r="R44" s="28" t="s">
        <v>19</v>
      </c>
      <c r="S44" s="31"/>
      <c r="T44" s="31"/>
      <c r="U44" s="31"/>
      <c r="V44" s="132"/>
      <c r="W44" s="136">
        <f>S13</f>
        <v>0.25</v>
      </c>
      <c r="X44" s="34">
        <f>U13</f>
        <v>0.625</v>
      </c>
      <c r="AA44" s="283" t="str">
        <f>W13</f>
        <v>RO1</v>
      </c>
      <c r="AB44" s="233">
        <f t="shared" si="16"/>
        <v>8000</v>
      </c>
      <c r="AC44" s="233">
        <f t="shared" si="17"/>
        <v>30</v>
      </c>
      <c r="AD44" s="45">
        <f t="shared" si="21"/>
        <v>60</v>
      </c>
    </row>
    <row r="45" spans="2:30" x14ac:dyDescent="0.35">
      <c r="B45" s="316" t="s">
        <v>20</v>
      </c>
      <c r="C45" s="211">
        <f>'ROC King'!L45</f>
        <v>0</v>
      </c>
      <c r="D45" s="31">
        <f>'ROC King'!M45</f>
        <v>0</v>
      </c>
      <c r="E45" s="31">
        <f>'ROC King'!N45</f>
        <v>0</v>
      </c>
      <c r="F45" s="31">
        <f>'ROC King'!O45</f>
        <v>0</v>
      </c>
      <c r="G45" s="35">
        <f>'ROC King'!P45</f>
        <v>1</v>
      </c>
      <c r="H45" s="34">
        <f>'ROC King'!Q45</f>
        <v>1</v>
      </c>
      <c r="J45" s="316" t="s">
        <v>20</v>
      </c>
      <c r="K45" s="211">
        <v>0</v>
      </c>
      <c r="L45" s="31">
        <v>0</v>
      </c>
      <c r="M45" s="31">
        <v>0</v>
      </c>
      <c r="N45" s="31">
        <v>0</v>
      </c>
      <c r="O45" s="35">
        <f t="shared" ref="O45:O48" si="22">VLOOKUP($J45,$B$4:$G$21,4,FALSE)</f>
        <v>0.3</v>
      </c>
      <c r="P45" s="34">
        <f t="shared" ref="P45:P48" si="23">VLOOKUP($J45,$B$4:$G$21,6,FALSE)</f>
        <v>0.95</v>
      </c>
      <c r="R45" s="28" t="s">
        <v>20</v>
      </c>
      <c r="S45" s="31"/>
      <c r="T45" s="31"/>
      <c r="U45" s="31"/>
      <c r="V45" s="132"/>
      <c r="W45" s="136">
        <f t="shared" ref="W45:W48" si="24">S14</f>
        <v>0.5</v>
      </c>
      <c r="X45" s="34">
        <f t="shared" ref="X45:X48" si="25">U14</f>
        <v>0.75</v>
      </c>
      <c r="AA45" s="283" t="str">
        <f>W14</f>
        <v>RO2</v>
      </c>
      <c r="AB45" s="233">
        <f t="shared" si="16"/>
        <v>500</v>
      </c>
      <c r="AC45" s="233">
        <f t="shared" si="17"/>
        <v>5</v>
      </c>
      <c r="AD45" s="45">
        <f t="shared" si="21"/>
        <v>10</v>
      </c>
    </row>
    <row r="46" spans="2:30" x14ac:dyDescent="0.35">
      <c r="B46" s="316" t="s">
        <v>21</v>
      </c>
      <c r="C46" s="211">
        <f>'ROC King'!L46</f>
        <v>0</v>
      </c>
      <c r="D46" s="31">
        <f>'ROC King'!M46</f>
        <v>0</v>
      </c>
      <c r="E46" s="31">
        <f>'ROC King'!N46</f>
        <v>0</v>
      </c>
      <c r="F46" s="31">
        <f>'ROC King'!O46</f>
        <v>0</v>
      </c>
      <c r="G46" s="35">
        <f>'ROC King'!P46</f>
        <v>1</v>
      </c>
      <c r="H46" s="34">
        <f>'ROC King'!Q46</f>
        <v>1</v>
      </c>
      <c r="J46" s="316" t="s">
        <v>21</v>
      </c>
      <c r="K46" s="211">
        <v>0</v>
      </c>
      <c r="L46" s="31">
        <v>0</v>
      </c>
      <c r="M46" s="31">
        <v>0</v>
      </c>
      <c r="N46" s="31">
        <v>0</v>
      </c>
      <c r="O46" s="35">
        <f t="shared" si="22"/>
        <v>1</v>
      </c>
      <c r="P46" s="34">
        <f t="shared" si="23"/>
        <v>0.98</v>
      </c>
      <c r="R46" s="28" t="s">
        <v>21</v>
      </c>
      <c r="S46" s="31"/>
      <c r="T46" s="31"/>
      <c r="U46" s="31"/>
      <c r="V46" s="132"/>
      <c r="W46" s="136">
        <f t="shared" si="24"/>
        <v>0.25</v>
      </c>
      <c r="X46" s="34">
        <f t="shared" si="25"/>
        <v>0.625</v>
      </c>
      <c r="AA46" s="283" t="str">
        <f>W15</f>
        <v>RO3</v>
      </c>
      <c r="AB46" s="233">
        <f t="shared" si="16"/>
        <v>6500</v>
      </c>
      <c r="AC46" s="233">
        <f t="shared" si="17"/>
        <v>20</v>
      </c>
      <c r="AD46" s="45">
        <f t="shared" si="21"/>
        <v>40</v>
      </c>
    </row>
    <row r="47" spans="2:30" x14ac:dyDescent="0.35">
      <c r="B47" s="316" t="s">
        <v>22</v>
      </c>
      <c r="C47" s="211">
        <f>'ROC King'!L47</f>
        <v>0</v>
      </c>
      <c r="D47" s="31">
        <f>'ROC King'!M47</f>
        <v>0</v>
      </c>
      <c r="E47" s="31">
        <f>'ROC King'!N47</f>
        <v>0</v>
      </c>
      <c r="F47" s="31">
        <f>'ROC King'!O47</f>
        <v>0</v>
      </c>
      <c r="G47" s="35">
        <f>'ROC King'!P47</f>
        <v>1</v>
      </c>
      <c r="H47" s="34">
        <f>'ROC King'!Q47</f>
        <v>1</v>
      </c>
      <c r="J47" s="316" t="s">
        <v>22</v>
      </c>
      <c r="K47" s="211">
        <v>0</v>
      </c>
      <c r="L47" s="31">
        <v>0</v>
      </c>
      <c r="M47" s="31">
        <v>0</v>
      </c>
      <c r="N47" s="31">
        <v>0</v>
      </c>
      <c r="O47" s="35">
        <f t="shared" si="22"/>
        <v>0.2</v>
      </c>
      <c r="P47" s="34">
        <f t="shared" si="23"/>
        <v>1.05</v>
      </c>
      <c r="R47" s="28" t="s">
        <v>22</v>
      </c>
      <c r="S47" s="31"/>
      <c r="T47" s="31"/>
      <c r="U47" s="31"/>
      <c r="V47" s="132"/>
      <c r="W47" s="136">
        <f t="shared" si="24"/>
        <v>0.55000000000000004</v>
      </c>
      <c r="X47" s="34">
        <f t="shared" si="25"/>
        <v>0.75</v>
      </c>
      <c r="AA47" s="283" t="str">
        <f>W16</f>
        <v>RO4</v>
      </c>
      <c r="AB47" s="233">
        <f t="shared" si="16"/>
        <v>500</v>
      </c>
      <c r="AC47" s="233">
        <f t="shared" si="17"/>
        <v>10</v>
      </c>
      <c r="AD47" s="45">
        <f t="shared" si="21"/>
        <v>20</v>
      </c>
    </row>
    <row r="48" spans="2:30" ht="15" thickBot="1" x14ac:dyDescent="0.4">
      <c r="B48" s="318" t="s">
        <v>23</v>
      </c>
      <c r="C48" s="212">
        <f>'ROC King'!L48</f>
        <v>0</v>
      </c>
      <c r="D48" s="33">
        <f>'ROC King'!M48</f>
        <v>0</v>
      </c>
      <c r="E48" s="33">
        <f>'ROC King'!N48</f>
        <v>0</v>
      </c>
      <c r="F48" s="33">
        <f>'ROC King'!O48</f>
        <v>0</v>
      </c>
      <c r="G48" s="37">
        <f>'ROC King'!P48</f>
        <v>1</v>
      </c>
      <c r="H48" s="36">
        <f>'ROC King'!Q48</f>
        <v>1</v>
      </c>
      <c r="J48" s="318" t="s">
        <v>23</v>
      </c>
      <c r="K48" s="212">
        <v>0</v>
      </c>
      <c r="L48" s="33">
        <v>0</v>
      </c>
      <c r="M48" s="33">
        <v>0</v>
      </c>
      <c r="N48" s="33">
        <v>0</v>
      </c>
      <c r="O48" s="37">
        <f t="shared" si="22"/>
        <v>0.5</v>
      </c>
      <c r="P48" s="36">
        <f t="shared" si="23"/>
        <v>0.65</v>
      </c>
      <c r="R48" s="29" t="s">
        <v>23</v>
      </c>
      <c r="S48" s="33"/>
      <c r="T48" s="33"/>
      <c r="U48" s="33"/>
      <c r="V48" s="135"/>
      <c r="W48" s="136">
        <f t="shared" si="24"/>
        <v>0.5</v>
      </c>
      <c r="X48" s="34">
        <f t="shared" si="25"/>
        <v>1</v>
      </c>
      <c r="Y48" s="2"/>
      <c r="Z48" s="2"/>
      <c r="AA48" s="284" t="str">
        <f>W17</f>
        <v>RO5</v>
      </c>
      <c r="AB48" s="233">
        <f t="shared" si="16"/>
        <v>10000</v>
      </c>
      <c r="AC48" s="233">
        <f t="shared" si="17"/>
        <v>50</v>
      </c>
      <c r="AD48" s="45">
        <f t="shared" si="21"/>
        <v>100</v>
      </c>
    </row>
    <row r="49" spans="1:30" ht="15" thickBot="1" x14ac:dyDescent="0.4">
      <c r="W49" s="2"/>
      <c r="X49" s="2"/>
      <c r="Y49" s="2"/>
      <c r="Z49" s="2"/>
    </row>
    <row r="50" spans="1:30" ht="15" thickBot="1" x14ac:dyDescent="0.4">
      <c r="AA50" s="236" t="s">
        <v>31</v>
      </c>
      <c r="AB50" s="227">
        <f>SUM(AB31:AB48)</f>
        <v>61750</v>
      </c>
      <c r="AC50" s="227">
        <f>SUM(AC31:AC48)</f>
        <v>407</v>
      </c>
      <c r="AD50" s="227">
        <f>SUM(AD31:AD48)</f>
        <v>793</v>
      </c>
    </row>
    <row r="51" spans="1:30" s="2" customFormat="1" ht="13.5" thickTop="1" x14ac:dyDescent="0.3">
      <c r="A51" s="8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"/>
      <c r="AB51" s="1"/>
      <c r="AC51" s="1"/>
      <c r="AD51" s="1"/>
    </row>
    <row r="52" spans="1:30" s="2" customFormat="1" ht="30.5" x14ac:dyDescent="0.35">
      <c r="B52" s="408" t="s">
        <v>61</v>
      </c>
      <c r="C52" s="408"/>
      <c r="D52" s="408"/>
      <c r="E52" s="408"/>
      <c r="F52" s="408"/>
      <c r="G52" s="408"/>
      <c r="H52" s="1"/>
      <c r="I52" s="46" t="s">
        <v>89</v>
      </c>
      <c r="P52" s="30"/>
      <c r="Q52" s="30"/>
      <c r="R52"/>
      <c r="S52"/>
      <c r="T52"/>
      <c r="U52"/>
      <c r="V52"/>
    </row>
    <row r="53" spans="1:30" s="2" customFormat="1" ht="18.5" x14ac:dyDescent="0.45">
      <c r="B53" s="405" t="s">
        <v>24</v>
      </c>
      <c r="C53" s="405"/>
      <c r="D53" s="47"/>
      <c r="E53" s="47"/>
      <c r="G53" s="405" t="s">
        <v>25</v>
      </c>
      <c r="H53" s="405"/>
      <c r="I53" s="47"/>
      <c r="L53" s="405" t="s">
        <v>27</v>
      </c>
      <c r="M53" s="405"/>
      <c r="N53" s="47"/>
      <c r="Q53" s="405" t="s">
        <v>90</v>
      </c>
      <c r="R53" s="405"/>
      <c r="S53"/>
      <c r="T53"/>
      <c r="U53"/>
      <c r="V53"/>
    </row>
    <row r="54" spans="1:30" s="2" customFormat="1" ht="30" customHeight="1" x14ac:dyDescent="0.35">
      <c r="A54" s="49"/>
      <c r="B54" s="56" t="s">
        <v>63</v>
      </c>
      <c r="C54" s="56" t="s">
        <v>64</v>
      </c>
      <c r="D54" s="49"/>
      <c r="E54" s="49"/>
      <c r="F54" s="49"/>
      <c r="G54" s="56" t="s">
        <v>63</v>
      </c>
      <c r="H54" s="56" t="s">
        <v>64</v>
      </c>
      <c r="I54" s="49"/>
      <c r="J54" s="49"/>
      <c r="K54" s="49"/>
      <c r="L54" s="56" t="s">
        <v>63</v>
      </c>
      <c r="M54" s="56" t="s">
        <v>64</v>
      </c>
      <c r="N54" s="49"/>
      <c r="P54" s="49"/>
      <c r="Q54" s="56" t="s">
        <v>63</v>
      </c>
      <c r="R54" s="56" t="s">
        <v>64</v>
      </c>
      <c r="S54"/>
      <c r="T54"/>
      <c r="U54"/>
      <c r="V54"/>
    </row>
    <row r="55" spans="1:30" s="2" customFormat="1" ht="15.5" x14ac:dyDescent="0.35">
      <c r="A55" s="57" t="s">
        <v>14</v>
      </c>
      <c r="B55" s="58">
        <f>K31*AB31/(1-Data!$B$29)</f>
        <v>518.13471502590676</v>
      </c>
      <c r="C55" s="59">
        <f>S31*AD31</f>
        <v>40</v>
      </c>
      <c r="D55" s="49"/>
      <c r="E55" s="49"/>
      <c r="F55" s="288" t="s">
        <v>14</v>
      </c>
      <c r="G55" s="58">
        <f>L31*AB31/(1-Data!$C$29)</f>
        <v>518.13471502590676</v>
      </c>
      <c r="H55" s="59">
        <f>T31*AD31</f>
        <v>30</v>
      </c>
      <c r="I55" s="49"/>
      <c r="J55" s="49"/>
      <c r="K55" s="288" t="s">
        <v>14</v>
      </c>
      <c r="L55" s="58">
        <f>M31*AB31/(1-Data!$E$29)</f>
        <v>388.60103626943004</v>
      </c>
      <c r="M55" s="59">
        <f>U31*AD31</f>
        <v>40</v>
      </c>
      <c r="N55" s="49"/>
      <c r="P55" s="288" t="s">
        <v>14</v>
      </c>
      <c r="Q55" s="58">
        <f>N31*AB31/(1-Data!$F$29)</f>
        <v>1295.3367875647668</v>
      </c>
      <c r="R55" s="59">
        <f>V31*AD31</f>
        <v>20</v>
      </c>
    </row>
    <row r="56" spans="1:30" s="2" customFormat="1" ht="15.5" x14ac:dyDescent="0.35">
      <c r="A56" s="57" t="s">
        <v>15</v>
      </c>
      <c r="B56" s="58">
        <f>K32*AB32/(1-Data!$B$29)</f>
        <v>704.66321243523316</v>
      </c>
      <c r="C56" s="59">
        <f t="shared" ref="C56:C67" si="26">S32*AD32</f>
        <v>30</v>
      </c>
      <c r="D56" s="49"/>
      <c r="E56" s="49"/>
      <c r="F56" s="288" t="s">
        <v>15</v>
      </c>
      <c r="G56" s="58">
        <f>L32*AB32/(1-Data!$C$29)</f>
        <v>1409.3264248704663</v>
      </c>
      <c r="H56" s="59">
        <f t="shared" ref="H56:H67" si="27">T32*AD32</f>
        <v>20</v>
      </c>
      <c r="I56" s="49"/>
      <c r="J56" s="49"/>
      <c r="K56" s="288" t="s">
        <v>15</v>
      </c>
      <c r="L56" s="58">
        <f>M32*AB32/(1-Data!$E$29)</f>
        <v>493.26424870466326</v>
      </c>
      <c r="M56" s="59">
        <f t="shared" ref="M56:M66" si="28">U32*AD32</f>
        <v>60</v>
      </c>
      <c r="N56" s="49"/>
      <c r="P56" s="288" t="s">
        <v>15</v>
      </c>
      <c r="Q56" s="58">
        <f>N32*AB32/(1-Data!$F$29)</f>
        <v>3523.3160621761658</v>
      </c>
      <c r="R56" s="59">
        <f t="shared" ref="R56:R67" si="29">V32*AD32</f>
        <v>10</v>
      </c>
    </row>
    <row r="57" spans="1:30" s="2" customFormat="1" ht="15.5" x14ac:dyDescent="0.35">
      <c r="A57" s="57" t="s">
        <v>12</v>
      </c>
      <c r="B57" s="58">
        <f>K33*AB33/(1-Data!$B$29)</f>
        <v>207.25388601036269</v>
      </c>
      <c r="C57" s="59">
        <f t="shared" si="26"/>
        <v>18</v>
      </c>
      <c r="D57" s="49"/>
      <c r="E57" s="49"/>
      <c r="F57" s="288" t="s">
        <v>12</v>
      </c>
      <c r="G57" s="58">
        <f>L33*AB33/(1-Data!$C$29)</f>
        <v>259.06735751295338</v>
      </c>
      <c r="H57" s="59">
        <f t="shared" si="27"/>
        <v>27</v>
      </c>
      <c r="I57" s="49"/>
      <c r="J57" s="49"/>
      <c r="K57" s="288" t="s">
        <v>12</v>
      </c>
      <c r="L57" s="58">
        <f>M33*AB33/(1-Data!$E$29)</f>
        <v>336.78756476683941</v>
      </c>
      <c r="M57" s="59">
        <f t="shared" si="28"/>
        <v>22.5</v>
      </c>
      <c r="N57" s="49"/>
      <c r="P57" s="288" t="s">
        <v>12</v>
      </c>
      <c r="Q57" s="58">
        <f>N33*AB33/(1-Data!$F$29)</f>
        <v>0</v>
      </c>
      <c r="R57" s="59">
        <f t="shared" si="29"/>
        <v>0</v>
      </c>
    </row>
    <row r="58" spans="1:30" s="2" customFormat="1" ht="15.5" x14ac:dyDescent="0.35">
      <c r="A58" s="57" t="s">
        <v>32</v>
      </c>
      <c r="B58" s="58">
        <f>K34*AB34/(1-Data!$B$29)</f>
        <v>2590.6735751295337</v>
      </c>
      <c r="C58" s="59">
        <f t="shared" si="26"/>
        <v>18.75</v>
      </c>
      <c r="D58" s="49"/>
      <c r="E58" s="49"/>
      <c r="F58" s="288" t="s">
        <v>32</v>
      </c>
      <c r="G58" s="58">
        <f>L34*AB34/(1-Data!$C$29)</f>
        <v>1554.4041450777202</v>
      </c>
      <c r="H58" s="59">
        <f t="shared" si="27"/>
        <v>6.25</v>
      </c>
      <c r="I58" s="49"/>
      <c r="J58" s="49"/>
      <c r="K58" s="288" t="s">
        <v>32</v>
      </c>
      <c r="L58" s="58">
        <f>M34*AB34/(1-Data!$E$29)</f>
        <v>0</v>
      </c>
      <c r="M58" s="59">
        <f t="shared" si="28"/>
        <v>0</v>
      </c>
      <c r="N58" s="49"/>
      <c r="P58" s="288" t="s">
        <v>32</v>
      </c>
      <c r="Q58" s="58">
        <f>N34*AB34/(1-Data!$F$29)</f>
        <v>6217.6165803108806</v>
      </c>
      <c r="R58" s="59">
        <f t="shared" si="29"/>
        <v>25</v>
      </c>
    </row>
    <row r="59" spans="1:30" s="2" customFormat="1" ht="15.5" x14ac:dyDescent="0.35">
      <c r="A59" s="57" t="s">
        <v>33</v>
      </c>
      <c r="B59" s="58">
        <f>K35*AB35/(1-Data!$B$29)</f>
        <v>3264.2487046632127</v>
      </c>
      <c r="C59" s="59">
        <f t="shared" si="26"/>
        <v>17.5</v>
      </c>
      <c r="D59" s="49"/>
      <c r="E59" s="49"/>
      <c r="F59" s="288" t="s">
        <v>33</v>
      </c>
      <c r="G59" s="58">
        <f>L35*AB35/(1-Data!$C$29)</f>
        <v>3626.9430051813474</v>
      </c>
      <c r="H59" s="59">
        <f t="shared" si="27"/>
        <v>17.5</v>
      </c>
      <c r="I59" s="49"/>
      <c r="J59" s="49"/>
      <c r="K59" s="288" t="s">
        <v>33</v>
      </c>
      <c r="L59" s="58">
        <f>M35*AB35/(1-Data!$E$29)</f>
        <v>0</v>
      </c>
      <c r="M59" s="59">
        <f t="shared" si="28"/>
        <v>0</v>
      </c>
      <c r="N59" s="49"/>
      <c r="P59" s="288" t="s">
        <v>33</v>
      </c>
      <c r="Q59" s="58">
        <f>N35*AB35/(1-Data!$F$29)</f>
        <v>5803.108808290156</v>
      </c>
      <c r="R59" s="59">
        <f t="shared" si="29"/>
        <v>26.25</v>
      </c>
    </row>
    <row r="60" spans="1:30" s="2" customFormat="1" ht="15.5" x14ac:dyDescent="0.35">
      <c r="A60" s="57" t="s">
        <v>34</v>
      </c>
      <c r="B60" s="58">
        <f>K36*AB36/(1-Data!$B$29)</f>
        <v>808.29015544041454</v>
      </c>
      <c r="C60" s="59">
        <f t="shared" si="26"/>
        <v>7.8</v>
      </c>
      <c r="D60" s="49"/>
      <c r="E60" s="49"/>
      <c r="F60" s="288" t="s">
        <v>34</v>
      </c>
      <c r="G60" s="58">
        <f>L36*AB36/(1-Data!$C$29)</f>
        <v>538.86010362694299</v>
      </c>
      <c r="H60" s="59">
        <f t="shared" si="27"/>
        <v>9.75</v>
      </c>
      <c r="I60" s="49"/>
      <c r="J60" s="49"/>
      <c r="K60" s="288" t="s">
        <v>34</v>
      </c>
      <c r="L60" s="58">
        <f>M36*AB36/(1-Data!$E$29)</f>
        <v>0</v>
      </c>
      <c r="M60" s="59">
        <f t="shared" si="28"/>
        <v>0</v>
      </c>
      <c r="N60" s="49"/>
      <c r="P60" s="288" t="s">
        <v>34</v>
      </c>
      <c r="Q60" s="58">
        <f>N36*AB36/(1-Data!$F$29)</f>
        <v>2424.8704663212434</v>
      </c>
      <c r="R60" s="59">
        <f t="shared" si="29"/>
        <v>6.5</v>
      </c>
    </row>
    <row r="61" spans="1:30" s="2" customFormat="1" ht="15.5" x14ac:dyDescent="0.35">
      <c r="A61" s="57" t="s">
        <v>35</v>
      </c>
      <c r="B61" s="58">
        <f>K37*AB37/(1-Data!$B$29)</f>
        <v>1243.5233160621763</v>
      </c>
      <c r="C61" s="59">
        <f t="shared" si="26"/>
        <v>20</v>
      </c>
      <c r="D61" s="49"/>
      <c r="E61" s="49"/>
      <c r="F61" s="288" t="s">
        <v>35</v>
      </c>
      <c r="G61" s="58">
        <f>L37*AB37/(1-Data!$C$29)</f>
        <v>1658.0310880829015</v>
      </c>
      <c r="H61" s="59">
        <f t="shared" si="27"/>
        <v>20</v>
      </c>
      <c r="I61" s="49"/>
      <c r="J61" s="49"/>
      <c r="K61" s="288" t="s">
        <v>35</v>
      </c>
      <c r="L61" s="58">
        <f>M37*AB37/(1-Data!$E$29)</f>
        <v>0</v>
      </c>
      <c r="M61" s="59">
        <f t="shared" si="28"/>
        <v>0</v>
      </c>
      <c r="N61" s="49"/>
      <c r="P61" s="288" t="s">
        <v>35</v>
      </c>
      <c r="Q61" s="58">
        <f>N37*AB37/(1-Data!$F$29)</f>
        <v>3108.8082901554403</v>
      </c>
      <c r="R61" s="59">
        <f t="shared" si="29"/>
        <v>20</v>
      </c>
    </row>
    <row r="62" spans="1:30" s="2" customFormat="1" ht="15.5" x14ac:dyDescent="0.35">
      <c r="A62" s="60" t="s">
        <v>10</v>
      </c>
      <c r="B62" s="58">
        <f>K38*AB38/(1-Data!$B$29)</f>
        <v>284.97409326424872</v>
      </c>
      <c r="C62" s="59">
        <f t="shared" si="26"/>
        <v>15</v>
      </c>
      <c r="D62" s="49"/>
      <c r="E62" s="49"/>
      <c r="F62" s="290" t="s">
        <v>10</v>
      </c>
      <c r="G62" s="58">
        <f>L38*AB38/(1-Data!$C$29)</f>
        <v>647.66839378238342</v>
      </c>
      <c r="H62" s="59">
        <f t="shared" si="27"/>
        <v>15</v>
      </c>
      <c r="I62" s="49"/>
      <c r="J62" s="49"/>
      <c r="K62" s="290" t="s">
        <v>10</v>
      </c>
      <c r="L62" s="58">
        <f>M38*AB38/(1-Data!$E$29)</f>
        <v>0</v>
      </c>
      <c r="M62" s="59">
        <f t="shared" si="28"/>
        <v>0</v>
      </c>
      <c r="N62" s="49"/>
      <c r="P62" s="290" t="s">
        <v>10</v>
      </c>
      <c r="Q62" s="58">
        <f>N38*AB38/(1-Data!$F$29)</f>
        <v>0</v>
      </c>
      <c r="R62" s="59">
        <f t="shared" si="29"/>
        <v>0</v>
      </c>
    </row>
    <row r="63" spans="1:30" s="2" customFormat="1" ht="15.5" x14ac:dyDescent="0.35">
      <c r="A63" s="57" t="s">
        <v>16</v>
      </c>
      <c r="B63" s="58">
        <f>K39*AB39/(1-Data!$B$29)</f>
        <v>1943.0051813471503</v>
      </c>
      <c r="C63" s="59">
        <f t="shared" si="26"/>
        <v>22.5</v>
      </c>
      <c r="D63" s="49"/>
      <c r="E63" s="49"/>
      <c r="F63" s="288" t="s">
        <v>16</v>
      </c>
      <c r="G63" s="58">
        <f>L39*AB39/(1-Data!$C$29)</f>
        <v>0</v>
      </c>
      <c r="H63" s="59">
        <f t="shared" si="27"/>
        <v>0</v>
      </c>
      <c r="I63" s="49"/>
      <c r="J63" s="49"/>
      <c r="K63" s="288" t="s">
        <v>16</v>
      </c>
      <c r="L63" s="58">
        <f>M39*AB39/(1-Data!$E$29)</f>
        <v>1101.0362694300518</v>
      </c>
      <c r="M63" s="59">
        <f t="shared" si="28"/>
        <v>30</v>
      </c>
      <c r="N63" s="49"/>
      <c r="P63" s="288" t="s">
        <v>16</v>
      </c>
      <c r="Q63" s="58">
        <f>N39*AB39/(1-Data!$F$29)</f>
        <v>4533.6787564766837</v>
      </c>
      <c r="R63" s="59">
        <f t="shared" si="29"/>
        <v>15</v>
      </c>
    </row>
    <row r="64" spans="1:30" s="2" customFormat="1" ht="15.5" x14ac:dyDescent="0.35">
      <c r="A64" s="57" t="s">
        <v>11</v>
      </c>
      <c r="B64" s="58">
        <f>K40*AB40/(1-Data!$B$29)</f>
        <v>129.53367875647669</v>
      </c>
      <c r="C64" s="59">
        <f t="shared" si="26"/>
        <v>4.5</v>
      </c>
      <c r="D64" s="49"/>
      <c r="E64" s="49"/>
      <c r="F64" s="288" t="s">
        <v>11</v>
      </c>
      <c r="G64" s="58">
        <f>L40*AB40/(1-Data!$C$29)</f>
        <v>0</v>
      </c>
      <c r="H64" s="59">
        <f t="shared" si="27"/>
        <v>0</v>
      </c>
      <c r="I64" s="49"/>
      <c r="J64" s="49"/>
      <c r="K64" s="288" t="s">
        <v>11</v>
      </c>
      <c r="L64" s="58">
        <f>M40*AB40/(1-Data!$E$29)</f>
        <v>103.62694300518135</v>
      </c>
      <c r="M64" s="59">
        <f t="shared" si="28"/>
        <v>6</v>
      </c>
      <c r="N64" s="49"/>
      <c r="P64" s="288" t="s">
        <v>11</v>
      </c>
      <c r="Q64" s="58">
        <f>N40*AB40/(1-Data!$F$29)</f>
        <v>0</v>
      </c>
      <c r="R64" s="59">
        <f t="shared" si="29"/>
        <v>0</v>
      </c>
    </row>
    <row r="65" spans="1:19" s="2" customFormat="1" ht="15.5" x14ac:dyDescent="0.35">
      <c r="A65" s="57" t="s">
        <v>13</v>
      </c>
      <c r="B65" s="58">
        <f>K41*AB41/(1-Data!$B$29)</f>
        <v>207.25388601036269</v>
      </c>
      <c r="C65" s="59">
        <f t="shared" si="26"/>
        <v>4.5</v>
      </c>
      <c r="D65" s="49"/>
      <c r="E65" s="49"/>
      <c r="F65" s="288" t="s">
        <v>13</v>
      </c>
      <c r="G65" s="58">
        <f>L41*AB41/(1-Data!$C$29)</f>
        <v>0</v>
      </c>
      <c r="H65" s="59">
        <f t="shared" si="27"/>
        <v>0</v>
      </c>
      <c r="I65" s="49"/>
      <c r="J65" s="49"/>
      <c r="K65" s="288" t="s">
        <v>13</v>
      </c>
      <c r="L65" s="58">
        <f>M41*AB41/(1-Data!$E$29)</f>
        <v>181.34715025906738</v>
      </c>
      <c r="M65" s="59">
        <f t="shared" si="28"/>
        <v>6.75</v>
      </c>
      <c r="N65" s="49"/>
      <c r="P65" s="288" t="s">
        <v>13</v>
      </c>
      <c r="Q65" s="58">
        <f>N41*AB41/(1-Data!$F$29)</f>
        <v>0</v>
      </c>
      <c r="R65" s="59">
        <f t="shared" si="29"/>
        <v>0</v>
      </c>
    </row>
    <row r="66" spans="1:19" s="2" customFormat="1" ht="15.5" x14ac:dyDescent="0.35">
      <c r="A66" s="57" t="s">
        <v>18</v>
      </c>
      <c r="B66" s="58">
        <f>K42*AB42/(1-Data!$B$29)</f>
        <v>103.62694300518135</v>
      </c>
      <c r="C66" s="59">
        <f t="shared" si="26"/>
        <v>7.5</v>
      </c>
      <c r="D66" s="49"/>
      <c r="E66" s="49"/>
      <c r="F66" s="288" t="s">
        <v>18</v>
      </c>
      <c r="G66" s="58">
        <f>L42*AB42/(1-Data!$C$29)</f>
        <v>0</v>
      </c>
      <c r="H66" s="59">
        <f t="shared" si="27"/>
        <v>0</v>
      </c>
      <c r="I66" s="49"/>
      <c r="J66" s="49"/>
      <c r="K66" s="288" t="s">
        <v>18</v>
      </c>
      <c r="L66" s="58">
        <f>M42*AB42/(1-Data!$E$29)</f>
        <v>103.62694300518135</v>
      </c>
      <c r="M66" s="59">
        <f t="shared" si="28"/>
        <v>22.5</v>
      </c>
      <c r="N66" s="49"/>
      <c r="P66" s="288" t="s">
        <v>18</v>
      </c>
      <c r="Q66" s="58">
        <f>N42*AB42/(1-Data!$F$29)</f>
        <v>0</v>
      </c>
      <c r="R66" s="59">
        <f t="shared" si="29"/>
        <v>0</v>
      </c>
    </row>
    <row r="67" spans="1:19" s="2" customFormat="1" ht="15.5" x14ac:dyDescent="0.35">
      <c r="A67" s="57" t="s">
        <v>17</v>
      </c>
      <c r="B67" s="58">
        <f>K43*AB43/(1-Data!$B$29)</f>
        <v>0</v>
      </c>
      <c r="C67" s="59">
        <f t="shared" si="26"/>
        <v>0</v>
      </c>
      <c r="D67" s="49"/>
      <c r="E67" s="49"/>
      <c r="F67" s="288" t="s">
        <v>17</v>
      </c>
      <c r="G67" s="58">
        <f>L43*AB43/(1-Data!$C$29)</f>
        <v>5181.3471502590673</v>
      </c>
      <c r="H67" s="59">
        <f t="shared" si="27"/>
        <v>25</v>
      </c>
      <c r="I67" s="49"/>
      <c r="J67" s="49"/>
      <c r="K67" s="288" t="s">
        <v>17</v>
      </c>
      <c r="L67" s="58">
        <f>M43*AB43/(1-Data!$E$29)</f>
        <v>1295.3367875647668</v>
      </c>
      <c r="M67" s="59">
        <f>U43*AD43</f>
        <v>25</v>
      </c>
      <c r="N67" s="49"/>
      <c r="P67" s="288" t="s">
        <v>17</v>
      </c>
      <c r="Q67" s="58">
        <f>N43*AB43/(1-Data!$F$29)</f>
        <v>1036.2694300518135</v>
      </c>
      <c r="R67" s="59">
        <f t="shared" si="29"/>
        <v>6.25</v>
      </c>
    </row>
    <row r="68" spans="1:19" s="2" customFormat="1" ht="15.5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P68" s="49"/>
      <c r="Q68" s="49"/>
      <c r="R68" s="49"/>
    </row>
    <row r="69" spans="1:19" s="2" customFormat="1" ht="15.5" x14ac:dyDescent="0.35">
      <c r="A69" s="61"/>
      <c r="B69" s="286" t="s">
        <v>31</v>
      </c>
      <c r="C69" s="287">
        <f>SUM(B55:C67)*1/Data!B$31*1/Data!$B$32</f>
        <v>13389.508056085813</v>
      </c>
      <c r="D69" s="49" t="s">
        <v>67</v>
      </c>
      <c r="E69" s="49"/>
      <c r="F69" s="61"/>
      <c r="G69" s="286" t="s">
        <v>31</v>
      </c>
      <c r="H69" s="287">
        <f>SUM(G55:H67)*1/Data!$C$31*1/Data!$C$32</f>
        <v>17066.099104626854</v>
      </c>
      <c r="I69" s="49" t="s">
        <v>67</v>
      </c>
      <c r="J69" s="49"/>
      <c r="K69" s="61"/>
      <c r="L69" s="286" t="s">
        <v>31</v>
      </c>
      <c r="M69" s="287">
        <f>SUM(L55:M67)*1/Data!$E$31*1/Data!$E$32</f>
        <v>4623.2203322425239</v>
      </c>
      <c r="N69" s="49" t="s">
        <v>67</v>
      </c>
      <c r="P69" s="61"/>
      <c r="Q69" s="286" t="s">
        <v>31</v>
      </c>
      <c r="R69" s="287">
        <f>SUM(Q55:R67)*1/Data!$F$31*1/Data!$F$32</f>
        <v>30780.707435687669</v>
      </c>
      <c r="S69" s="49" t="s">
        <v>67</v>
      </c>
    </row>
    <row r="70" spans="1:19" s="2" customFormat="1" ht="15.5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9" s="2" customFormat="1" ht="13" x14ac:dyDescent="0.3"/>
    <row r="72" spans="1:19" s="2" customFormat="1" ht="12.75" customHeight="1" x14ac:dyDescent="0.3">
      <c r="A72" s="9"/>
      <c r="B72" s="9"/>
      <c r="C72" s="9"/>
    </row>
    <row r="73" spans="1:19" s="2" customFormat="1" ht="12.75" customHeight="1" x14ac:dyDescent="0.3">
      <c r="I73" s="48"/>
    </row>
    <row r="74" spans="1:19" s="9" customFormat="1" ht="30.5" x14ac:dyDescent="0.3">
      <c r="A74" s="2"/>
      <c r="B74" s="2"/>
      <c r="C74" s="2"/>
      <c r="I74" s="406" t="s">
        <v>68</v>
      </c>
      <c r="J74" s="406"/>
      <c r="K74" s="406"/>
      <c r="L74" s="406"/>
      <c r="M74" s="406"/>
    </row>
    <row r="75" spans="1:19" s="9" customFormat="1" ht="21.75" customHeight="1" thickBot="1" x14ac:dyDescent="0.4">
      <c r="A75" s="2"/>
      <c r="B75" s="412" t="s">
        <v>85</v>
      </c>
      <c r="C75" s="412"/>
      <c r="D75" s="49"/>
      <c r="E75" s="2"/>
      <c r="F75" s="2"/>
    </row>
    <row r="76" spans="1:19" s="2" customFormat="1" ht="15" customHeight="1" x14ac:dyDescent="0.35">
      <c r="B76" s="50" t="s">
        <v>70</v>
      </c>
      <c r="C76" s="51">
        <f>Data!I28*Data!I29*Data!I30</f>
        <v>3300</v>
      </c>
      <c r="D76" s="49" t="s">
        <v>67</v>
      </c>
    </row>
    <row r="77" spans="1:19" s="2" customFormat="1" ht="18.75" customHeight="1" x14ac:dyDescent="0.35">
      <c r="B77" s="52" t="s">
        <v>71</v>
      </c>
      <c r="C77" s="53">
        <f>Data!B33</f>
        <v>0.85</v>
      </c>
      <c r="D77" s="49"/>
    </row>
    <row r="78" spans="1:19" s="2" customFormat="1" ht="21" customHeight="1" thickBot="1" x14ac:dyDescent="0.4">
      <c r="B78" s="54" t="s">
        <v>69</v>
      </c>
      <c r="C78" s="55">
        <f>C76*C77</f>
        <v>2805</v>
      </c>
      <c r="D78" s="49" t="s">
        <v>67</v>
      </c>
    </row>
    <row r="79" spans="1:19" s="2" customFormat="1" ht="14.15" customHeight="1" x14ac:dyDescent="0.3"/>
    <row r="80" spans="1:19" s="2" customFormat="1" ht="13.5" thickBot="1" x14ac:dyDescent="0.35"/>
    <row r="81" spans="1:28" s="2" customFormat="1" ht="15" x14ac:dyDescent="0.3">
      <c r="B81" s="409" t="s">
        <v>122</v>
      </c>
      <c r="C81" s="410"/>
    </row>
    <row r="82" spans="1:28" s="2" customFormat="1" ht="15.5" x14ac:dyDescent="0.35">
      <c r="B82" s="122" t="s">
        <v>24</v>
      </c>
      <c r="C82" s="123">
        <f>CEILING(C69/$C$78,1)</f>
        <v>5</v>
      </c>
    </row>
    <row r="83" spans="1:28" s="2" customFormat="1" ht="15.5" x14ac:dyDescent="0.35">
      <c r="B83" s="122" t="s">
        <v>25</v>
      </c>
      <c r="C83" s="123">
        <f>CEILING(H69/$C$78,1)</f>
        <v>7</v>
      </c>
      <c r="D83" s="10"/>
    </row>
    <row r="84" spans="1:28" s="2" customFormat="1" ht="15.5" x14ac:dyDescent="0.35">
      <c r="B84" s="122" t="s">
        <v>27</v>
      </c>
      <c r="C84" s="123">
        <f>CEILING(M69/$C$78,1)</f>
        <v>2</v>
      </c>
      <c r="D84" s="10"/>
    </row>
    <row r="85" spans="1:28" s="10" customFormat="1" ht="16" thickBot="1" x14ac:dyDescent="0.4">
      <c r="B85" s="124" t="s">
        <v>90</v>
      </c>
      <c r="C85" s="125">
        <f>CEILING(R69/C78,1)</f>
        <v>11</v>
      </c>
      <c r="D85"/>
    </row>
    <row r="86" spans="1:28" s="10" customFormat="1" ht="13" x14ac:dyDescent="0.3"/>
    <row r="88" spans="1:28" s="2" customFormat="1" ht="15" thickBot="1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28" s="2" customFormat="1" ht="13.5" thickTop="1" x14ac:dyDescent="0.3">
      <c r="A89" s="8"/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2" customFormat="1" ht="30.5" x14ac:dyDescent="0.35">
      <c r="B90" s="408" t="s">
        <v>86</v>
      </c>
      <c r="C90" s="408"/>
      <c r="D90" s="408"/>
      <c r="E90" s="408"/>
      <c r="F90" s="408"/>
      <c r="G90" s="408"/>
      <c r="H90" s="1"/>
      <c r="I90" s="46" t="s">
        <v>89</v>
      </c>
    </row>
    <row r="91" spans="1:28" s="2" customFormat="1" ht="18.5" x14ac:dyDescent="0.45">
      <c r="B91" s="411" t="s">
        <v>28</v>
      </c>
      <c r="C91" s="411"/>
      <c r="D91" s="47"/>
      <c r="G91" s="405" t="s">
        <v>26</v>
      </c>
      <c r="H91" s="405"/>
      <c r="I91" s="47"/>
    </row>
    <row r="92" spans="1:28" s="2" customFormat="1" ht="62" x14ac:dyDescent="0.35">
      <c r="A92" s="49"/>
      <c r="B92" s="56" t="s">
        <v>63</v>
      </c>
      <c r="C92" s="56" t="s">
        <v>64</v>
      </c>
      <c r="D92" s="49"/>
      <c r="E92" s="49"/>
      <c r="F92" s="49"/>
      <c r="G92" s="138" t="s">
        <v>63</v>
      </c>
      <c r="H92" s="138" t="s">
        <v>64</v>
      </c>
      <c r="I92" s="49"/>
    </row>
    <row r="93" spans="1:28" s="2" customFormat="1" ht="15.5" x14ac:dyDescent="0.35">
      <c r="A93" s="289" t="s">
        <v>19</v>
      </c>
      <c r="B93" s="58">
        <f>P44*AB44/(1-Data!$F$29)</f>
        <v>4145.0777202072541</v>
      </c>
      <c r="C93" s="59">
        <f>X44*AD44</f>
        <v>37.5</v>
      </c>
      <c r="D93" s="49"/>
      <c r="E93" s="49"/>
      <c r="F93" s="289" t="s">
        <v>19</v>
      </c>
      <c r="G93" s="58">
        <f>O44*AB44/(1-Data!$D$29)</f>
        <v>3316.0621761658031</v>
      </c>
      <c r="H93" s="305">
        <f>W44*AD44</f>
        <v>15</v>
      </c>
      <c r="I93" s="49"/>
    </row>
    <row r="94" spans="1:28" s="2" customFormat="1" ht="15.5" x14ac:dyDescent="0.35">
      <c r="A94" s="289" t="s">
        <v>20</v>
      </c>
      <c r="B94" s="58">
        <f>P45*AB45/(1-Data!$F$29)</f>
        <v>492.22797927461141</v>
      </c>
      <c r="C94" s="59">
        <f>X45*AD45</f>
        <v>7.5</v>
      </c>
      <c r="D94" s="49"/>
      <c r="E94" s="49"/>
      <c r="F94" s="289" t="s">
        <v>20</v>
      </c>
      <c r="G94" s="58">
        <f>O45*AB45/(1-Data!$D$29)</f>
        <v>155.44041450777203</v>
      </c>
      <c r="H94" s="305">
        <f t="shared" ref="H94:H97" si="30">W45*AD45</f>
        <v>5</v>
      </c>
      <c r="I94" s="49"/>
    </row>
    <row r="95" spans="1:28" s="2" customFormat="1" ht="15.5" x14ac:dyDescent="0.35">
      <c r="A95" s="289" t="s">
        <v>21</v>
      </c>
      <c r="B95" s="58">
        <f>P46*AB46/(1-Data!$F$29)</f>
        <v>6601.036269430052</v>
      </c>
      <c r="C95" s="59">
        <f>X46*AD46</f>
        <v>25</v>
      </c>
      <c r="D95" s="49"/>
      <c r="E95" s="49"/>
      <c r="F95" s="289" t="s">
        <v>21</v>
      </c>
      <c r="G95" s="58">
        <f>O46*AB46/(1-Data!$D$29)</f>
        <v>6735.7512953367877</v>
      </c>
      <c r="H95" s="305">
        <f t="shared" si="30"/>
        <v>10</v>
      </c>
      <c r="I95" s="49"/>
    </row>
    <row r="96" spans="1:28" s="2" customFormat="1" ht="15.5" x14ac:dyDescent="0.35">
      <c r="A96" s="289" t="s">
        <v>22</v>
      </c>
      <c r="B96" s="58">
        <f>P47*AB47/(1-Data!$F$29)</f>
        <v>544.04145077720204</v>
      </c>
      <c r="C96" s="59">
        <f>X47*AD47</f>
        <v>15</v>
      </c>
      <c r="D96" s="49"/>
      <c r="E96" s="49"/>
      <c r="F96" s="289" t="s">
        <v>22</v>
      </c>
      <c r="G96" s="58">
        <f>O47*AB47/(1-Data!$D$29)</f>
        <v>103.62694300518135</v>
      </c>
      <c r="H96" s="305">
        <f t="shared" si="30"/>
        <v>11</v>
      </c>
      <c r="I96" s="49"/>
    </row>
    <row r="97" spans="1:15" s="2" customFormat="1" ht="15.5" x14ac:dyDescent="0.35">
      <c r="A97" s="289" t="s">
        <v>23</v>
      </c>
      <c r="B97" s="58">
        <f>P48*AB48/(1-Data!$F$29)</f>
        <v>6735.7512953367877</v>
      </c>
      <c r="C97" s="59">
        <f>X48*AD48</f>
        <v>100</v>
      </c>
      <c r="D97" s="49"/>
      <c r="E97" s="49"/>
      <c r="F97" s="289" t="s">
        <v>23</v>
      </c>
      <c r="G97" s="58">
        <f>O48*AB48/(1-Data!$D$29)</f>
        <v>5181.3471502590673</v>
      </c>
      <c r="H97" s="305">
        <f t="shared" si="30"/>
        <v>50</v>
      </c>
      <c r="I97" s="49"/>
    </row>
    <row r="98" spans="1:15" s="2" customFormat="1" ht="15.5" x14ac:dyDescent="0.35">
      <c r="A98" s="49"/>
      <c r="B98" s="49"/>
      <c r="C98" s="49"/>
      <c r="D98" s="49"/>
      <c r="E98" s="49"/>
      <c r="F98" s="289" t="s">
        <v>11</v>
      </c>
      <c r="G98" s="58">
        <f>O40*AB40/(1-Data!$D$29)</f>
        <v>259.06735751295338</v>
      </c>
      <c r="H98" s="59">
        <f>W40*AD40</f>
        <v>36</v>
      </c>
      <c r="I98" s="49"/>
    </row>
    <row r="99" spans="1:15" s="2" customFormat="1" ht="15.5" x14ac:dyDescent="0.35">
      <c r="A99" s="61"/>
      <c r="B99" s="286" t="s">
        <v>31</v>
      </c>
      <c r="C99" s="287">
        <f>SUM(B93:C97)*1/Data!$F$31*1/Data!$F$32</f>
        <v>20507.823152440691</v>
      </c>
      <c r="D99" s="49" t="s">
        <v>67</v>
      </c>
      <c r="E99" s="49"/>
      <c r="F99" s="289" t="s">
        <v>13</v>
      </c>
      <c r="G99" s="58">
        <f>O41*AB41/(1-Data!$D$29)</f>
        <v>647.66839378238342</v>
      </c>
      <c r="H99" s="59">
        <f>W41*AD41</f>
        <v>49.5</v>
      </c>
    </row>
    <row r="100" spans="1:15" s="2" customFormat="1" ht="15.5" x14ac:dyDescent="0.35">
      <c r="A100" s="49"/>
      <c r="B100" s="49"/>
      <c r="C100" s="49"/>
      <c r="D100" s="49"/>
      <c r="E100" s="49"/>
      <c r="F100" s="49"/>
      <c r="G100" s="49"/>
      <c r="H100" s="49"/>
      <c r="J100" s="49"/>
    </row>
    <row r="101" spans="1:15" s="2" customFormat="1" ht="15.5" x14ac:dyDescent="0.35">
      <c r="I101" s="49"/>
      <c r="J101" s="49"/>
    </row>
    <row r="102" spans="1:15" s="2" customFormat="1" ht="15.5" x14ac:dyDescent="0.35">
      <c r="A102" s="9"/>
      <c r="B102" s="9"/>
      <c r="C102" s="9"/>
      <c r="F102" s="61"/>
      <c r="G102" s="286" t="s">
        <v>31</v>
      </c>
      <c r="H102" s="287">
        <f>SUM(G93:H99)*1/Data!$D$31*1/Data!$D$32</f>
        <v>18174.850581765295</v>
      </c>
      <c r="I102" s="49" t="s">
        <v>67</v>
      </c>
    </row>
    <row r="103" spans="1:15" s="2" customFormat="1" ht="13" x14ac:dyDescent="0.3"/>
    <row r="104" spans="1:15" s="2" customFormat="1" ht="24.5" x14ac:dyDescent="0.3">
      <c r="D104" s="9"/>
      <c r="E104" s="9"/>
      <c r="F104" s="9"/>
      <c r="G104" s="9"/>
      <c r="H104" s="9"/>
      <c r="I104" s="48"/>
    </row>
    <row r="105" spans="1:15" s="2" customFormat="1" ht="31" thickBot="1" x14ac:dyDescent="0.4">
      <c r="B105" s="412" t="s">
        <v>85</v>
      </c>
      <c r="C105" s="412"/>
      <c r="D105" s="49"/>
      <c r="G105" s="9"/>
      <c r="H105" s="9"/>
      <c r="I105" s="406" t="s">
        <v>68</v>
      </c>
      <c r="J105" s="406"/>
      <c r="K105" s="406"/>
      <c r="L105" s="406"/>
      <c r="M105" s="406"/>
      <c r="N105" s="9"/>
    </row>
    <row r="106" spans="1:15" s="2" customFormat="1" ht="15.5" x14ac:dyDescent="0.35">
      <c r="B106" s="50" t="s">
        <v>70</v>
      </c>
      <c r="C106" s="51">
        <f>Data!I28*Data!I29*Data!I30</f>
        <v>3300</v>
      </c>
      <c r="D106" s="49" t="s">
        <v>67</v>
      </c>
      <c r="I106" s="9"/>
      <c r="J106" s="9"/>
      <c r="K106" s="9"/>
      <c r="L106" s="9"/>
      <c r="M106" s="9"/>
      <c r="N106" s="9"/>
    </row>
    <row r="107" spans="1:15" s="2" customFormat="1" ht="15.5" x14ac:dyDescent="0.35">
      <c r="B107" s="52" t="s">
        <v>71</v>
      </c>
      <c r="C107" s="53">
        <f>Data!B33</f>
        <v>0.85</v>
      </c>
      <c r="D107" s="49"/>
    </row>
    <row r="108" spans="1:15" s="2" customFormat="1" ht="16" thickBot="1" x14ac:dyDescent="0.4">
      <c r="B108" s="54" t="s">
        <v>69</v>
      </c>
      <c r="C108" s="55">
        <f>C106*C107</f>
        <v>2805</v>
      </c>
      <c r="D108" s="49" t="s">
        <v>67</v>
      </c>
    </row>
    <row r="109" spans="1:15" s="2" customFormat="1" ht="13" x14ac:dyDescent="0.3"/>
    <row r="110" spans="1:15" s="2" customFormat="1" ht="13.5" thickBot="1" x14ac:dyDescent="0.35"/>
    <row r="111" spans="1:15" s="2" customFormat="1" ht="15" x14ac:dyDescent="0.3">
      <c r="B111" s="409" t="s">
        <v>121</v>
      </c>
      <c r="C111" s="410"/>
      <c r="O111" s="9"/>
    </row>
    <row r="112" spans="1:15" s="2" customFormat="1" ht="15.5" x14ac:dyDescent="0.35">
      <c r="B112" s="122" t="s">
        <v>26</v>
      </c>
      <c r="C112" s="123">
        <f>CEILING(H102/$C$108,1)</f>
        <v>7</v>
      </c>
      <c r="O112" s="9"/>
    </row>
    <row r="113" spans="1:15" s="2" customFormat="1" ht="16" thickBot="1" x14ac:dyDescent="0.4">
      <c r="B113" s="124" t="s">
        <v>28</v>
      </c>
      <c r="C113" s="125">
        <f>CEILING(C99/$C$108,1)</f>
        <v>8</v>
      </c>
      <c r="D113" s="10"/>
    </row>
    <row r="114" spans="1:15" s="2" customFormat="1" ht="13" x14ac:dyDescent="0.3">
      <c r="B114" s="10"/>
      <c r="C114" s="10"/>
      <c r="D114" s="10"/>
    </row>
    <row r="115" spans="1:15" s="2" customFormat="1" x14ac:dyDescent="0.35">
      <c r="A115" s="10"/>
      <c r="B115" s="10"/>
      <c r="C115" s="10"/>
      <c r="D115"/>
      <c r="E115" s="10"/>
      <c r="F115" s="10"/>
      <c r="G115" s="10"/>
      <c r="H115" s="10"/>
    </row>
    <row r="116" spans="1:15" s="2" customFormat="1" ht="13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5" s="2" customFormat="1" x14ac:dyDescent="0.35">
      <c r="A117"/>
      <c r="B117"/>
      <c r="C117"/>
      <c r="D117"/>
      <c r="E117"/>
      <c r="F117"/>
      <c r="G117"/>
      <c r="H117"/>
      <c r="I117" s="10"/>
      <c r="J117" s="10"/>
      <c r="K117" s="10"/>
      <c r="L117" s="10"/>
      <c r="M117" s="10"/>
      <c r="N117" s="10"/>
    </row>
    <row r="118" spans="1:15" s="2" customFormat="1" x14ac:dyDescent="0.35">
      <c r="I118"/>
      <c r="J118"/>
      <c r="K118"/>
      <c r="L118"/>
      <c r="M118"/>
      <c r="N118"/>
    </row>
    <row r="119" spans="1:15" s="2" customFormat="1" ht="13" x14ac:dyDescent="0.3"/>
    <row r="120" spans="1:15" s="2" customFormat="1" ht="13" x14ac:dyDescent="0.3"/>
    <row r="121" spans="1:15" s="2" customFormat="1" ht="13" x14ac:dyDescent="0.3"/>
    <row r="122" spans="1:15" s="2" customFormat="1" ht="13" x14ac:dyDescent="0.3">
      <c r="O122" s="10"/>
    </row>
    <row r="123" spans="1:15" s="2" customFormat="1" ht="13" x14ac:dyDescent="0.3">
      <c r="O123" s="10"/>
    </row>
    <row r="124" spans="1:15" s="2" customFormat="1" x14ac:dyDescent="0.35">
      <c r="O124"/>
    </row>
    <row r="125" spans="1:15" s="2" customFormat="1" ht="13" x14ac:dyDescent="0.3"/>
    <row r="126" spans="1:15" s="2" customFormat="1" ht="13" x14ac:dyDescent="0.3"/>
    <row r="127" spans="1:15" s="2" customFormat="1" ht="13" x14ac:dyDescent="0.3"/>
    <row r="128" spans="1:15" s="2" customFormat="1" ht="13" x14ac:dyDescent="0.3"/>
    <row r="129" spans="1:14" s="2" customFormat="1" ht="13" x14ac:dyDescent="0.3"/>
    <row r="130" spans="1:14" s="2" customFormat="1" ht="13" x14ac:dyDescent="0.3"/>
    <row r="131" spans="1:14" s="2" customFormat="1" x14ac:dyDescent="0.35">
      <c r="A131"/>
      <c r="B131"/>
      <c r="C131"/>
      <c r="D131"/>
      <c r="E131"/>
      <c r="F131"/>
      <c r="G131"/>
      <c r="H131"/>
    </row>
    <row r="132" spans="1:14" s="2" customFormat="1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2" customFormat="1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2" customFormat="1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2" customFormat="1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2" customFormat="1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2" customFormat="1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</sheetData>
  <mergeCells count="19">
    <mergeCell ref="I74:M74"/>
    <mergeCell ref="I2:N2"/>
    <mergeCell ref="B52:G52"/>
    <mergeCell ref="A26:N26"/>
    <mergeCell ref="B111:C111"/>
    <mergeCell ref="B91:C91"/>
    <mergeCell ref="B75:C75"/>
    <mergeCell ref="B105:C105"/>
    <mergeCell ref="I105:M105"/>
    <mergeCell ref="G91:H91"/>
    <mergeCell ref="B90:G90"/>
    <mergeCell ref="B81:C81"/>
    <mergeCell ref="Q23:T25"/>
    <mergeCell ref="B29:G29"/>
    <mergeCell ref="C28:I28"/>
    <mergeCell ref="B53:C53"/>
    <mergeCell ref="G53:H53"/>
    <mergeCell ref="L53:M53"/>
    <mergeCell ref="Q53:R5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7" workbookViewId="0">
      <selection activeCell="F26" sqref="F26"/>
    </sheetView>
  </sheetViews>
  <sheetFormatPr defaultRowHeight="14.5" x14ac:dyDescent="0.35"/>
  <cols>
    <col min="2" max="2" width="15.26953125" bestFit="1" customWidth="1"/>
    <col min="3" max="3" width="33.453125" customWidth="1"/>
    <col min="4" max="4" width="30.453125" customWidth="1"/>
    <col min="5" max="5" width="21.7265625" customWidth="1"/>
    <col min="6" max="6" width="19.453125" customWidth="1"/>
    <col min="7" max="7" width="23.26953125" customWidth="1"/>
    <col min="8" max="8" width="14.26953125" customWidth="1"/>
    <col min="9" max="9" width="30.453125" bestFit="1" customWidth="1"/>
    <col min="11" max="11" width="24.1796875" customWidth="1"/>
    <col min="12" max="12" width="21.7265625" customWidth="1"/>
  </cols>
  <sheetData>
    <row r="1" spans="1:15" ht="15" thickBot="1" x14ac:dyDescent="0.4">
      <c r="B1" s="237"/>
      <c r="C1" s="237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6" thickBot="1" x14ac:dyDescent="0.4">
      <c r="B2" s="417" t="s">
        <v>120</v>
      </c>
      <c r="C2" s="41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31.5" thickBot="1" x14ac:dyDescent="0.4">
      <c r="A3" s="419" t="s">
        <v>93</v>
      </c>
      <c r="B3" s="239" t="s">
        <v>24</v>
      </c>
      <c r="C3" s="240">
        <f>'Cell dimensioning'!C82</f>
        <v>5</v>
      </c>
      <c r="D3" s="238"/>
      <c r="E3" s="422" t="s">
        <v>78</v>
      </c>
      <c r="F3" s="423"/>
      <c r="G3" s="266" t="s">
        <v>119</v>
      </c>
      <c r="H3" s="266" t="s">
        <v>80</v>
      </c>
      <c r="I3" s="267" t="s">
        <v>40</v>
      </c>
      <c r="J3" s="238"/>
      <c r="K3" s="238"/>
      <c r="L3" s="238"/>
      <c r="M3" s="238"/>
      <c r="N3" s="238"/>
      <c r="O3" s="238"/>
    </row>
    <row r="4" spans="1:15" ht="15.5" x14ac:dyDescent="0.35">
      <c r="A4" s="421"/>
      <c r="B4" s="241" t="s">
        <v>25</v>
      </c>
      <c r="C4" s="242">
        <f>'Cell dimensioning'!C83</f>
        <v>7</v>
      </c>
      <c r="D4" s="238"/>
      <c r="E4" s="262" t="s">
        <v>81</v>
      </c>
      <c r="F4" s="263" t="s">
        <v>24</v>
      </c>
      <c r="G4" s="263">
        <v>2</v>
      </c>
      <c r="H4" s="264">
        <v>150000</v>
      </c>
      <c r="I4" s="265">
        <v>0.05</v>
      </c>
      <c r="J4" s="238"/>
      <c r="K4" s="238"/>
      <c r="L4" s="238"/>
      <c r="M4" s="238"/>
      <c r="N4" s="238"/>
      <c r="O4" s="238"/>
    </row>
    <row r="5" spans="1:15" ht="15" customHeight="1" x14ac:dyDescent="0.35">
      <c r="A5" s="421"/>
      <c r="B5" s="241" t="s">
        <v>27</v>
      </c>
      <c r="C5" s="242">
        <f>'Cell dimensioning'!C84</f>
        <v>2</v>
      </c>
      <c r="D5" s="238"/>
      <c r="E5" s="306" t="s">
        <v>126</v>
      </c>
      <c r="F5" s="244" t="s">
        <v>25</v>
      </c>
      <c r="G5" s="244">
        <v>5</v>
      </c>
      <c r="H5" s="245">
        <v>300000</v>
      </c>
      <c r="I5" s="246">
        <v>0.05</v>
      </c>
      <c r="J5" s="238"/>
      <c r="K5" s="238"/>
      <c r="L5" s="238"/>
      <c r="M5" s="238"/>
      <c r="N5" s="238"/>
      <c r="O5" s="238"/>
    </row>
    <row r="6" spans="1:15" ht="16" thickBot="1" x14ac:dyDescent="0.4">
      <c r="A6" s="420"/>
      <c r="B6" s="247" t="s">
        <v>90</v>
      </c>
      <c r="C6" s="248">
        <f>'Cell dimensioning'!C85</f>
        <v>11</v>
      </c>
      <c r="D6" s="238"/>
      <c r="E6" s="243" t="s">
        <v>82</v>
      </c>
      <c r="F6" s="244" t="s">
        <v>26</v>
      </c>
      <c r="G6" s="244">
        <v>8</v>
      </c>
      <c r="H6" s="245">
        <v>200000</v>
      </c>
      <c r="I6" s="246">
        <v>0.05</v>
      </c>
      <c r="J6" s="238"/>
      <c r="K6" s="238"/>
      <c r="L6" s="238"/>
      <c r="M6" s="238"/>
      <c r="N6" s="238"/>
      <c r="O6" s="238"/>
    </row>
    <row r="7" spans="1:15" ht="15.5" x14ac:dyDescent="0.35">
      <c r="A7" s="419" t="s">
        <v>92</v>
      </c>
      <c r="B7" s="239" t="s">
        <v>26</v>
      </c>
      <c r="C7" s="240">
        <f>'Cell dimensioning'!C112</f>
        <v>7</v>
      </c>
      <c r="D7" s="238"/>
      <c r="E7" s="243" t="s">
        <v>83</v>
      </c>
      <c r="F7" s="244" t="s">
        <v>27</v>
      </c>
      <c r="G7" s="244">
        <v>2</v>
      </c>
      <c r="H7" s="245">
        <v>250000</v>
      </c>
      <c r="I7" s="246">
        <v>0.05</v>
      </c>
      <c r="J7" s="238"/>
      <c r="K7" s="238"/>
      <c r="L7" s="238"/>
      <c r="M7" s="238"/>
      <c r="N7" s="238"/>
      <c r="O7" s="238"/>
    </row>
    <row r="8" spans="1:15" ht="16" thickBot="1" x14ac:dyDescent="0.4">
      <c r="A8" s="420"/>
      <c r="B8" s="247" t="s">
        <v>28</v>
      </c>
      <c r="C8" s="248">
        <f>'Cell dimensioning'!C113</f>
        <v>8</v>
      </c>
      <c r="D8" s="238"/>
      <c r="E8" s="249" t="s">
        <v>84</v>
      </c>
      <c r="F8" s="250" t="s">
        <v>28</v>
      </c>
      <c r="G8" s="250">
        <v>12</v>
      </c>
      <c r="H8" s="251">
        <v>250000</v>
      </c>
      <c r="I8" s="252">
        <v>0.05</v>
      </c>
      <c r="J8" s="238"/>
      <c r="K8" s="238"/>
      <c r="L8" s="238"/>
      <c r="M8" s="238"/>
      <c r="N8" s="238"/>
      <c r="O8" s="238"/>
    </row>
    <row r="9" spans="1:15" x14ac:dyDescent="0.35"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</row>
    <row r="10" spans="1:15" ht="15" thickBot="1" x14ac:dyDescent="0.4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ht="26.5" thickBot="1" x14ac:dyDescent="0.65">
      <c r="B11" s="424" t="s">
        <v>104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6"/>
    </row>
    <row r="12" spans="1:15" ht="15" thickBot="1" x14ac:dyDescent="0.4"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</row>
    <row r="13" spans="1:15" ht="31.5" thickBot="1" x14ac:dyDescent="0.4">
      <c r="B13" s="366" t="s">
        <v>78</v>
      </c>
      <c r="C13" s="367" t="s">
        <v>116</v>
      </c>
      <c r="D13" s="367" t="s">
        <v>117</v>
      </c>
      <c r="E13" s="367" t="s">
        <v>114</v>
      </c>
      <c r="F13" s="368" t="s">
        <v>80</v>
      </c>
      <c r="G13" s="369" t="s">
        <v>40</v>
      </c>
      <c r="H13" s="370" t="s">
        <v>94</v>
      </c>
      <c r="I13" s="238"/>
      <c r="J13" s="238"/>
      <c r="M13" s="238"/>
      <c r="N13" s="238"/>
      <c r="O13" s="238"/>
    </row>
    <row r="14" spans="1:15" ht="15.5" x14ac:dyDescent="0.35">
      <c r="B14" s="361" t="s">
        <v>24</v>
      </c>
      <c r="C14" s="362">
        <f>C3</f>
        <v>5</v>
      </c>
      <c r="D14" s="362">
        <f>G4</f>
        <v>2</v>
      </c>
      <c r="E14" s="362">
        <f>C14-D14</f>
        <v>3</v>
      </c>
      <c r="F14" s="363">
        <f>H4</f>
        <v>150000</v>
      </c>
      <c r="G14" s="364">
        <f>I4</f>
        <v>0.05</v>
      </c>
      <c r="H14" s="365">
        <f>IF(E14&gt;0,E14*F14*G14,0)</f>
        <v>22500</v>
      </c>
      <c r="I14" s="238" t="s">
        <v>95</v>
      </c>
      <c r="J14" s="238"/>
      <c r="M14" s="238"/>
      <c r="N14" s="238"/>
      <c r="O14" s="238"/>
    </row>
    <row r="15" spans="1:15" ht="15.5" x14ac:dyDescent="0.35">
      <c r="B15" s="253" t="s">
        <v>25</v>
      </c>
      <c r="C15" s="254">
        <f>C4</f>
        <v>7</v>
      </c>
      <c r="D15" s="254">
        <f>G5</f>
        <v>5</v>
      </c>
      <c r="E15" s="254">
        <f t="shared" ref="E15:E17" si="0">C15-D15</f>
        <v>2</v>
      </c>
      <c r="F15" s="245">
        <f t="shared" ref="F15:F18" si="1">H5</f>
        <v>300000</v>
      </c>
      <c r="G15" s="255">
        <f t="shared" ref="G15:G18" si="2">I5</f>
        <v>0.05</v>
      </c>
      <c r="H15" s="140">
        <f>IF(E15&gt;0,E15*F15*G15,0)</f>
        <v>30000</v>
      </c>
      <c r="I15" s="238" t="s">
        <v>95</v>
      </c>
      <c r="J15" s="238"/>
      <c r="K15" s="238"/>
      <c r="L15" s="238"/>
      <c r="M15" s="238"/>
      <c r="N15" s="238"/>
      <c r="O15" s="238"/>
    </row>
    <row r="16" spans="1:15" ht="15.5" x14ac:dyDescent="0.35">
      <c r="B16" s="253" t="s">
        <v>26</v>
      </c>
      <c r="C16" s="254">
        <f>C7</f>
        <v>7</v>
      </c>
      <c r="D16" s="254">
        <f t="shared" ref="D16:D18" si="3">G6</f>
        <v>8</v>
      </c>
      <c r="E16" s="254">
        <f>C16-D16</f>
        <v>-1</v>
      </c>
      <c r="F16" s="245">
        <f t="shared" si="1"/>
        <v>200000</v>
      </c>
      <c r="G16" s="255">
        <f t="shared" si="2"/>
        <v>0.05</v>
      </c>
      <c r="H16" s="140">
        <f>IF(E16&gt;0,E16*F16*G16,0)</f>
        <v>0</v>
      </c>
      <c r="I16" s="238" t="s">
        <v>95</v>
      </c>
      <c r="J16" s="238"/>
      <c r="K16" s="238"/>
      <c r="L16" s="238"/>
      <c r="M16" s="238"/>
      <c r="N16" s="238"/>
      <c r="O16" s="238"/>
    </row>
    <row r="17" spans="2:15" ht="15.5" x14ac:dyDescent="0.35">
      <c r="B17" s="253" t="s">
        <v>27</v>
      </c>
      <c r="C17" s="254">
        <f>C5</f>
        <v>2</v>
      </c>
      <c r="D17" s="254">
        <f t="shared" si="3"/>
        <v>2</v>
      </c>
      <c r="E17" s="254">
        <f t="shared" si="0"/>
        <v>0</v>
      </c>
      <c r="F17" s="245">
        <f t="shared" si="1"/>
        <v>250000</v>
      </c>
      <c r="G17" s="255">
        <f t="shared" si="2"/>
        <v>0.05</v>
      </c>
      <c r="H17" s="140">
        <f>IF(E17&gt;0,E17*F17*G17,0)</f>
        <v>0</v>
      </c>
      <c r="I17" s="238" t="s">
        <v>95</v>
      </c>
      <c r="J17" s="238"/>
      <c r="K17" s="238"/>
      <c r="L17" s="238"/>
      <c r="M17" s="238"/>
      <c r="N17" s="238"/>
      <c r="O17" s="238"/>
    </row>
    <row r="18" spans="2:15" ht="16" thickBot="1" x14ac:dyDescent="0.4">
      <c r="B18" s="256" t="s">
        <v>28</v>
      </c>
      <c r="C18" s="257">
        <f>C6+C8</f>
        <v>19</v>
      </c>
      <c r="D18" s="257">
        <f t="shared" si="3"/>
        <v>12</v>
      </c>
      <c r="E18" s="257">
        <f>C18-D18</f>
        <v>7</v>
      </c>
      <c r="F18" s="251">
        <f t="shared" si="1"/>
        <v>250000</v>
      </c>
      <c r="G18" s="258">
        <f t="shared" si="2"/>
        <v>0.05</v>
      </c>
      <c r="H18" s="141">
        <f>IF(E18&gt;0,E18*F18*G18,0)</f>
        <v>87500</v>
      </c>
      <c r="I18" s="238" t="s">
        <v>95</v>
      </c>
      <c r="J18" s="238"/>
      <c r="K18" s="238"/>
      <c r="L18" s="238"/>
      <c r="M18" s="238"/>
      <c r="N18" s="238"/>
      <c r="O18" s="238"/>
    </row>
    <row r="19" spans="2:15" ht="15" thickBot="1" x14ac:dyDescent="0.4">
      <c r="B19" s="238"/>
      <c r="C19" s="238"/>
      <c r="D19" s="238"/>
      <c r="E19" s="238"/>
      <c r="F19" s="238"/>
      <c r="G19" s="259" t="s">
        <v>31</v>
      </c>
      <c r="H19" s="260">
        <f>SUM(H14:H18)</f>
        <v>140000</v>
      </c>
      <c r="I19" s="238" t="s">
        <v>95</v>
      </c>
      <c r="J19" s="238"/>
      <c r="K19" s="238"/>
      <c r="L19" s="238"/>
      <c r="M19" s="238"/>
      <c r="N19" s="238"/>
      <c r="O19" s="238"/>
    </row>
    <row r="20" spans="2:15" x14ac:dyDescent="0.35"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2:15" ht="15" thickBot="1" x14ac:dyDescent="0.4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15" ht="15" thickBot="1" x14ac:dyDescent="0.4">
      <c r="B22" s="238"/>
      <c r="C22" s="269" t="s">
        <v>116</v>
      </c>
      <c r="D22" s="269" t="s">
        <v>118</v>
      </c>
      <c r="E22" s="238"/>
      <c r="F22" s="413" t="s">
        <v>96</v>
      </c>
      <c r="G22" s="414"/>
      <c r="H22" s="238"/>
      <c r="I22" s="238"/>
      <c r="J22" s="238"/>
      <c r="K22" s="238"/>
      <c r="L22" s="238"/>
      <c r="M22" s="238"/>
      <c r="N22" s="238"/>
      <c r="O22" s="238"/>
    </row>
    <row r="23" spans="2:15" x14ac:dyDescent="0.35">
      <c r="B23" s="275" t="s">
        <v>93</v>
      </c>
      <c r="C23" s="270">
        <f>SUM(C3:C6)</f>
        <v>25</v>
      </c>
      <c r="D23" s="276">
        <f>CEILING(C23/$F$23,1)</f>
        <v>13</v>
      </c>
      <c r="E23" s="238"/>
      <c r="F23" s="415">
        <v>2</v>
      </c>
      <c r="G23" s="416"/>
      <c r="H23" s="238"/>
      <c r="I23" s="238"/>
      <c r="J23" s="238"/>
      <c r="K23" s="238"/>
      <c r="L23" s="238"/>
      <c r="M23" s="238"/>
      <c r="N23" s="238"/>
      <c r="O23" s="238"/>
    </row>
    <row r="24" spans="2:15" ht="15" thickBot="1" x14ac:dyDescent="0.4">
      <c r="B24" s="277" t="s">
        <v>92</v>
      </c>
      <c r="C24" s="278">
        <f>SUM(C7:C8)</f>
        <v>15</v>
      </c>
      <c r="D24" s="268">
        <f>CEILING(C24/$F$23,1)</f>
        <v>8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</row>
    <row r="25" spans="2:15" ht="15" thickBot="1" x14ac:dyDescent="0.4">
      <c r="B25" s="261"/>
      <c r="C25" s="271" t="s">
        <v>125</v>
      </c>
      <c r="D25" s="307">
        <f>SUM(D23:D24)</f>
        <v>21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  <row r="26" spans="2:15" x14ac:dyDescent="0.35">
      <c r="B26" s="261"/>
      <c r="C26" s="279" t="s">
        <v>124</v>
      </c>
      <c r="D26" s="274">
        <f>Data!I31/Data!I30</f>
        <v>15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  <row r="27" spans="2:15" ht="15" thickBot="1" x14ac:dyDescent="0.4">
      <c r="B27" s="261"/>
      <c r="C27" s="280" t="s">
        <v>123</v>
      </c>
      <c r="D27" s="273">
        <f>D25-D26</f>
        <v>6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</row>
    <row r="28" spans="2:15" ht="32.25" customHeight="1" thickBot="1" x14ac:dyDescent="0.4">
      <c r="B28" s="238"/>
      <c r="C28" s="281" t="s">
        <v>99</v>
      </c>
      <c r="D28" s="272">
        <f>(D27*Data!I32+'Economic assessment'!D27*Data!I33)*Data!I28*Data!I29</f>
        <v>277200</v>
      </c>
      <c r="E28" s="238" t="s">
        <v>95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2:15" x14ac:dyDescent="0.35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</row>
    <row r="30" spans="2:15" ht="15" thickBot="1" x14ac:dyDescent="0.4"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</row>
    <row r="31" spans="2:15" ht="15" thickBot="1" x14ac:dyDescent="0.4">
      <c r="B31" s="145" t="s">
        <v>103</v>
      </c>
      <c r="C31" s="146">
        <f>SUM(H19,D28)</f>
        <v>417200</v>
      </c>
      <c r="D31" s="238" t="s">
        <v>95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</sheetData>
  <mergeCells count="7">
    <mergeCell ref="F22:G22"/>
    <mergeCell ref="F23:G23"/>
    <mergeCell ref="B2:C2"/>
    <mergeCell ref="A7:A8"/>
    <mergeCell ref="A3:A6"/>
    <mergeCell ref="E3:F3"/>
    <mergeCell ref="B11:O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Data</vt:lpstr>
      <vt:lpstr>ROC King</vt:lpstr>
      <vt:lpstr>Cell dimensioning</vt:lpstr>
      <vt:lpstr>Economic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2019-04-29T12:36:37Z</dcterms:modified>
</cp:coreProperties>
</file>